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ata" sheetId="1" r:id="rId1"/>
    <sheet name="Notes &amp; Glossary" sheetId="2" r:id="rId2"/>
  </sheets>
  <definedNames>
    <definedName name="_xlnm._FilterDatabase" localSheetId="0" hidden="1">Data!$A$1:$Z$237</definedName>
  </definedNames>
  <calcPr calcId="124519" fullCalcOnLoad="1"/>
</workbook>
</file>

<file path=xl/sharedStrings.xml><?xml version="1.0" encoding="utf-8"?>
<sst xmlns="http://schemas.openxmlformats.org/spreadsheetml/2006/main" count="2141" uniqueCount="397">
  <si>
    <t>Name (Click to Read Analysis)</t>
  </si>
  <si>
    <t>Rating</t>
  </si>
  <si>
    <t>Price at Time of Rating</t>
  </si>
  <si>
    <t>Stock Price</t>
  </si>
  <si>
    <t>Fair Value Price</t>
  </si>
  <si>
    <t>Percent Fair Value</t>
  </si>
  <si>
    <t>Dividend Yield</t>
  </si>
  <si>
    <t>Valuation Return</t>
  </si>
  <si>
    <t>Growth Return</t>
  </si>
  <si>
    <t>Expected Total Return</t>
  </si>
  <si>
    <t>Dividend Risk Score</t>
  </si>
  <si>
    <t>P/E Ratio</t>
  </si>
  <si>
    <t>Forward EPS Estimate (or Similar Metric)</t>
  </si>
  <si>
    <t>Annual Dividend Payments</t>
  </si>
  <si>
    <t>Payout Ratio</t>
  </si>
  <si>
    <t>Years of Dividend Growth</t>
  </si>
  <si>
    <t>Dividend Growth Rate</t>
  </si>
  <si>
    <t>Ex-Dividend Date</t>
  </si>
  <si>
    <t>Dividend Frequency</t>
  </si>
  <si>
    <t>Security Type</t>
  </si>
  <si>
    <t>International</t>
  </si>
  <si>
    <t>Sector</t>
  </si>
  <si>
    <t>Market Cap (millions)</t>
  </si>
  <si>
    <t>Last Report Upload</t>
  </si>
  <si>
    <t>Analyst</t>
  </si>
  <si>
    <t>Ticker</t>
  </si>
  <si>
    <t>FFMR</t>
  </si>
  <si>
    <t>FINV</t>
  </si>
  <si>
    <t>PEP</t>
  </si>
  <si>
    <t>KVUE</t>
  </si>
  <si>
    <t>DOX</t>
  </si>
  <si>
    <t>ACI</t>
  </si>
  <si>
    <t>BX</t>
  </si>
  <si>
    <t>HRB</t>
  </si>
  <si>
    <t>VSNT</t>
  </si>
  <si>
    <t>AMCR</t>
  </si>
  <si>
    <t>CMCSA</t>
  </si>
  <si>
    <t>SNY</t>
  </si>
  <si>
    <t>NWFL</t>
  </si>
  <si>
    <t>KMB</t>
  </si>
  <si>
    <t>HRL</t>
  </si>
  <si>
    <t>SOBS</t>
  </si>
  <si>
    <t>TROW</t>
  </si>
  <si>
    <t>MO</t>
  </si>
  <si>
    <t>BEN</t>
  </si>
  <si>
    <t>ACN</t>
  </si>
  <si>
    <t>NKE</t>
  </si>
  <si>
    <t>OTEX</t>
  </si>
  <si>
    <t>FNF</t>
  </si>
  <si>
    <t>PRGO</t>
  </si>
  <si>
    <t>PNGAY</t>
  </si>
  <si>
    <t>AES</t>
  </si>
  <si>
    <t>BIP</t>
  </si>
  <si>
    <t>POR</t>
  </si>
  <si>
    <t>KOF</t>
  </si>
  <si>
    <t>CLX</t>
  </si>
  <si>
    <t>DGICA</t>
  </si>
  <si>
    <t>ES</t>
  </si>
  <si>
    <t>EIX</t>
  </si>
  <si>
    <t>BMY</t>
  </si>
  <si>
    <t>O</t>
  </si>
  <si>
    <t>HPQ</t>
  </si>
  <si>
    <t>EMN</t>
  </si>
  <si>
    <t>HASI</t>
  </si>
  <si>
    <t>NNN</t>
  </si>
  <si>
    <t>UBCP</t>
  </si>
  <si>
    <t>EPD</t>
  </si>
  <si>
    <t>PRU</t>
  </si>
  <si>
    <t>UVV</t>
  </si>
  <si>
    <t>BBY</t>
  </si>
  <si>
    <t>CHBH</t>
  </si>
  <si>
    <t>ENB</t>
  </si>
  <si>
    <t>CRT</t>
  </si>
  <si>
    <t>PAYX</t>
  </si>
  <si>
    <t>REXR</t>
  </si>
  <si>
    <t>WD</t>
  </si>
  <si>
    <t>PFE</t>
  </si>
  <si>
    <t>JJSF</t>
  </si>
  <si>
    <t>SHOE</t>
  </si>
  <si>
    <t>VRTS</t>
  </si>
  <si>
    <t>TAP</t>
  </si>
  <si>
    <t>FDP</t>
  </si>
  <si>
    <t>INFY</t>
  </si>
  <si>
    <t>WGO</t>
  </si>
  <si>
    <t>LCII</t>
  </si>
  <si>
    <t>MURGF</t>
  </si>
  <si>
    <t>PAA</t>
  </si>
  <si>
    <t>RSKIA</t>
  </si>
  <si>
    <t>EPRT</t>
  </si>
  <si>
    <t>AVA</t>
  </si>
  <si>
    <t>UDR</t>
  </si>
  <si>
    <t>VZ</t>
  </si>
  <si>
    <t>CUBE</t>
  </si>
  <si>
    <t>COLB</t>
  </si>
  <si>
    <t>MAA</t>
  </si>
  <si>
    <t>PINE</t>
  </si>
  <si>
    <t>SUN</t>
  </si>
  <si>
    <t>ADC</t>
  </si>
  <si>
    <t>NGG</t>
  </si>
  <si>
    <t>UHT</t>
  </si>
  <si>
    <t>BBVA</t>
  </si>
  <si>
    <t>FNLC</t>
  </si>
  <si>
    <t>KIM</t>
  </si>
  <si>
    <t>CNA</t>
  </si>
  <si>
    <t>HSBC</t>
  </si>
  <si>
    <t>HVT</t>
  </si>
  <si>
    <t>SWKS</t>
  </si>
  <si>
    <t>PEBO</t>
  </si>
  <si>
    <t>MNARF</t>
  </si>
  <si>
    <t>SR</t>
  </si>
  <si>
    <t>BTI</t>
  </si>
  <si>
    <t>APLO</t>
  </si>
  <si>
    <t>LWSCF</t>
  </si>
  <si>
    <t>OWL</t>
  </si>
  <si>
    <t>PNNT</t>
  </si>
  <si>
    <t>EARN</t>
  </si>
  <si>
    <t>TU</t>
  </si>
  <si>
    <t>NSP</t>
  </si>
  <si>
    <t>SSTK</t>
  </si>
  <si>
    <t>CION</t>
  </si>
  <si>
    <t>BAM</t>
  </si>
  <si>
    <t>NXRT</t>
  </si>
  <si>
    <t>SAMG</t>
  </si>
  <si>
    <t>GIS</t>
  </si>
  <si>
    <t>ARES</t>
  </si>
  <si>
    <t>OXSQ</t>
  </si>
  <si>
    <t>VICI</t>
  </si>
  <si>
    <t>CHCT</t>
  </si>
  <si>
    <t>PFLT</t>
  </si>
  <si>
    <t>SAR</t>
  </si>
  <si>
    <t>AMT</t>
  </si>
  <si>
    <t>HRZN</t>
  </si>
  <si>
    <t>TUERF</t>
  </si>
  <si>
    <t>UMH</t>
  </si>
  <si>
    <t>APAM</t>
  </si>
  <si>
    <t>ITUB</t>
  </si>
  <si>
    <t>CDPYF</t>
  </si>
  <si>
    <t>CSR</t>
  </si>
  <si>
    <t>UPS</t>
  </si>
  <si>
    <t>RHI</t>
  </si>
  <si>
    <t>CRLFF</t>
  </si>
  <si>
    <t>IVR</t>
  </si>
  <si>
    <t>BCIC</t>
  </si>
  <si>
    <t>IIPR</t>
  </si>
  <si>
    <t>PEYUF</t>
  </si>
  <si>
    <t>EQNR</t>
  </si>
  <si>
    <t>MSIF</t>
  </si>
  <si>
    <t>GOOD</t>
  </si>
  <si>
    <t>GLP</t>
  </si>
  <si>
    <t>HESM</t>
  </si>
  <si>
    <t>OXM</t>
  </si>
  <si>
    <t>DKL</t>
  </si>
  <si>
    <t>PRT</t>
  </si>
  <si>
    <t>GLPI</t>
  </si>
  <si>
    <t>PSEC</t>
  </si>
  <si>
    <t>FCPT</t>
  </si>
  <si>
    <t>EPR</t>
  </si>
  <si>
    <t>SCM</t>
  </si>
  <si>
    <t>DX</t>
  </si>
  <si>
    <t>AAT</t>
  </si>
  <si>
    <t>NXST</t>
  </si>
  <si>
    <t>BREUF</t>
  </si>
  <si>
    <t>BEP</t>
  </si>
  <si>
    <t>CSWC</t>
  </si>
  <si>
    <t>EFC</t>
  </si>
  <si>
    <t>BSRTF</t>
  </si>
  <si>
    <t>ORC</t>
  </si>
  <si>
    <t>TTE</t>
  </si>
  <si>
    <t>PVL</t>
  </si>
  <si>
    <t>GLAD</t>
  </si>
  <si>
    <t>CWEN</t>
  </si>
  <si>
    <t>IPOOF</t>
  </si>
  <si>
    <t>GONYF</t>
  </si>
  <si>
    <t>PAGP</t>
  </si>
  <si>
    <t>BBD</t>
  </si>
  <si>
    <t>SIRZF</t>
  </si>
  <si>
    <t>EQR</t>
  </si>
  <si>
    <t>WES</t>
  </si>
  <si>
    <t>CNNRF</t>
  </si>
  <si>
    <t>GTY</t>
  </si>
  <si>
    <t>MAIN</t>
  </si>
  <si>
    <t>IMBBY</t>
  </si>
  <si>
    <t>OMF</t>
  </si>
  <si>
    <t>BTBIF</t>
  </si>
  <si>
    <t>LXP</t>
  </si>
  <si>
    <t>NTST</t>
  </si>
  <si>
    <t>GHIFF</t>
  </si>
  <si>
    <t>LTC</t>
  </si>
  <si>
    <t>BP</t>
  </si>
  <si>
    <t>DOC</t>
  </si>
  <si>
    <t>TBCRF</t>
  </si>
  <si>
    <t>DRETF</t>
  </si>
  <si>
    <t>FRMUF</t>
  </si>
  <si>
    <t>TRIN</t>
  </si>
  <si>
    <t>SGU</t>
  </si>
  <si>
    <t>EFRTF</t>
  </si>
  <si>
    <t>XRN</t>
  </si>
  <si>
    <t>ETD</t>
  </si>
  <si>
    <t>FCMGF</t>
  </si>
  <si>
    <t>MOS</t>
  </si>
  <si>
    <t>ET</t>
  </si>
  <si>
    <t>AGNC</t>
  </si>
  <si>
    <t>LAND</t>
  </si>
  <si>
    <t>CTRRF</t>
  </si>
  <si>
    <t>HSHP</t>
  </si>
  <si>
    <t>OLYFF</t>
  </si>
  <si>
    <t>GWRS</t>
  </si>
  <si>
    <t>FRHLF</t>
  </si>
  <si>
    <t>PZRIF</t>
  </si>
  <si>
    <t>NRRUF</t>
  </si>
  <si>
    <t>WPC</t>
  </si>
  <si>
    <t>AMIVF</t>
  </si>
  <si>
    <t>MPLX</t>
  </si>
  <si>
    <t>E</t>
  </si>
  <si>
    <t>BSET</t>
  </si>
  <si>
    <t>RIOCF</t>
  </si>
  <si>
    <t>AMSF</t>
  </si>
  <si>
    <t>AEG</t>
  </si>
  <si>
    <t>OKE</t>
  </si>
  <si>
    <t>CROMF</t>
  </si>
  <si>
    <t>APYRF</t>
  </si>
  <si>
    <t>BEVFF</t>
  </si>
  <si>
    <t>PPRQF</t>
  </si>
  <si>
    <t>SMA</t>
  </si>
  <si>
    <t>NSA</t>
  </si>
  <si>
    <t>ORANY</t>
  </si>
  <si>
    <t>KMMPF</t>
  </si>
  <si>
    <t>APPTF</t>
  </si>
  <si>
    <t>GAIN</t>
  </si>
  <si>
    <t>BPZZF</t>
  </si>
  <si>
    <t>VIV</t>
  </si>
  <si>
    <t>LAMR</t>
  </si>
  <si>
    <t>PAZRF</t>
  </si>
  <si>
    <t>DREUF</t>
  </si>
  <si>
    <t>MSBI</t>
  </si>
  <si>
    <t>CWYUF</t>
  </si>
  <si>
    <t>CNQ</t>
  </si>
  <si>
    <t>MDV</t>
  </si>
  <si>
    <t>OFLX</t>
  </si>
  <si>
    <t>CGIFF</t>
  </si>
  <si>
    <t>PRVFF</t>
  </si>
  <si>
    <t>PTRUF</t>
  </si>
  <si>
    <t>SRRTF</t>
  </si>
  <si>
    <t>FCXXF</t>
  </si>
  <si>
    <t>APLE</t>
  </si>
  <si>
    <t>SRRRF</t>
  </si>
  <si>
    <t>PMREF</t>
  </si>
  <si>
    <t>NWHUF</t>
  </si>
  <si>
    <t>ZPTAF</t>
  </si>
  <si>
    <t>PSTL</t>
  </si>
  <si>
    <t>GEL</t>
  </si>
  <si>
    <t>MLLGF</t>
  </si>
  <si>
    <t>RPKIF</t>
  </si>
  <si>
    <t>HY</t>
  </si>
  <si>
    <t>MTR</t>
  </si>
  <si>
    <t>ARR</t>
  </si>
  <si>
    <t>DEDVF</t>
  </si>
  <si>
    <t>SBR</t>
  </si>
  <si>
    <t>CVX</t>
  </si>
  <si>
    <t>HRUFF</t>
  </si>
  <si>
    <t>WCPRF</t>
  </si>
  <si>
    <t>BMA</t>
  </si>
  <si>
    <t>Buy</t>
  </si>
  <si>
    <t>Hold</t>
  </si>
  <si>
    <t>Sell</t>
  </si>
  <si>
    <t>N/A</t>
  </si>
  <si>
    <t>A</t>
  </si>
  <si>
    <t>B</t>
  </si>
  <si>
    <t>C</t>
  </si>
  <si>
    <t>D</t>
  </si>
  <si>
    <t>F</t>
  </si>
  <si>
    <t>2026-04-16</t>
  </si>
  <si>
    <t>2026-06-05</t>
  </si>
  <si>
    <t>2026-05-13</t>
  </si>
  <si>
    <t>2026-06-30</t>
  </si>
  <si>
    <t>2026-04-24</t>
  </si>
  <si>
    <t>2026-05-04</t>
  </si>
  <si>
    <t>2026-06-03</t>
  </si>
  <si>
    <t>2026-07-01</t>
  </si>
  <si>
    <t>2026-05-28</t>
  </si>
  <si>
    <t>2026-04-15</t>
  </si>
  <si>
    <t>2026-07-13</t>
  </si>
  <si>
    <t>2026-06-15</t>
  </si>
  <si>
    <t>2026-06-29</t>
  </si>
  <si>
    <t>2026-04-09</t>
  </si>
  <si>
    <t>2026-06-01</t>
  </si>
  <si>
    <t>2026-06-16</t>
  </si>
  <si>
    <t>2026-05-29</t>
  </si>
  <si>
    <t>2026-05-01</t>
  </si>
  <si>
    <t>2026-06-25</t>
  </si>
  <si>
    <t>2026-04-20</t>
  </si>
  <si>
    <t>2026-04-22</t>
  </si>
  <si>
    <t>2026-05-18</t>
  </si>
  <si>
    <t>2026-04-07</t>
  </si>
  <si>
    <t>2026-04-02</t>
  </si>
  <si>
    <t>2026-06-10</t>
  </si>
  <si>
    <t>2026-07-02</t>
  </si>
  <si>
    <t>2026-04-30</t>
  </si>
  <si>
    <t>2025-09-10</t>
  </si>
  <si>
    <t>2026-05-26</t>
  </si>
  <si>
    <t>2026-06-18</t>
  </si>
  <si>
    <t>2026-05-15</t>
  </si>
  <si>
    <t>2022-09-29</t>
  </si>
  <si>
    <t>2026-05-21</t>
  </si>
  <si>
    <t>2026-05-08</t>
  </si>
  <si>
    <t>2026-07-06</t>
  </si>
  <si>
    <t>2026-07-31</t>
  </si>
  <si>
    <t>2026-05-19</t>
  </si>
  <si>
    <t>2026-07-17</t>
  </si>
  <si>
    <t>2026-07-10</t>
  </si>
  <si>
    <t>2026-07-15</t>
  </si>
  <si>
    <t>2026-06-11</t>
  </si>
  <si>
    <t>2026-06-22</t>
  </si>
  <si>
    <t>2025-03-31</t>
  </si>
  <si>
    <t>2026-06-04</t>
  </si>
  <si>
    <t>2026-06-12</t>
  </si>
  <si>
    <t>2026-04-10</t>
  </si>
  <si>
    <t>2026-05-11</t>
  </si>
  <si>
    <t>2026-06-17</t>
  </si>
  <si>
    <t>2026-05-22</t>
  </si>
  <si>
    <t>2026-03-31</t>
  </si>
  <si>
    <t>2026-08-14</t>
  </si>
  <si>
    <t>2026-06-23</t>
  </si>
  <si>
    <t>2026-05-07</t>
  </si>
  <si>
    <t>2026-04-17</t>
  </si>
  <si>
    <t>2026-05-27</t>
  </si>
  <si>
    <t>2025-09-30</t>
  </si>
  <si>
    <t>2026-05-20</t>
  </si>
  <si>
    <t>2026-03-30</t>
  </si>
  <si>
    <t>2026-06-08</t>
  </si>
  <si>
    <t>2026-04-27</t>
  </si>
  <si>
    <t>2026-06-02</t>
  </si>
  <si>
    <t>Quarterly</t>
  </si>
  <si>
    <t>Annual</t>
  </si>
  <si>
    <t>Semi-Annual</t>
  </si>
  <si>
    <t>Monthly</t>
  </si>
  <si>
    <t>Stock</t>
  </si>
  <si>
    <t>MLP</t>
  </si>
  <si>
    <t>REIT</t>
  </si>
  <si>
    <t>BDC</t>
  </si>
  <si>
    <t>No</t>
  </si>
  <si>
    <t>Yes</t>
  </si>
  <si>
    <t>Financials</t>
  </si>
  <si>
    <t>Consumer Staples</t>
  </si>
  <si>
    <t>Information Technology</t>
  </si>
  <si>
    <t>Consumer Discretionary</t>
  </si>
  <si>
    <t>Communication Services</t>
  </si>
  <si>
    <t>Materials</t>
  </si>
  <si>
    <t>Health Care</t>
  </si>
  <si>
    <t>Utilities</t>
  </si>
  <si>
    <t>Real Estate</t>
  </si>
  <si>
    <t>Energy</t>
  </si>
  <si>
    <t>Industrials</t>
  </si>
  <si>
    <t>Josh Arnold</t>
  </si>
  <si>
    <t>Quinn Mohammed</t>
  </si>
  <si>
    <t>Nathan Parsh</t>
  </si>
  <si>
    <t>Sure Dividend Analyst</t>
  </si>
  <si>
    <t>Kody Kester</t>
  </si>
  <si>
    <t>Nikos Sismanis</t>
  </si>
  <si>
    <t>Felix Martinez</t>
  </si>
  <si>
    <t>Kay Ng</t>
  </si>
  <si>
    <t>Jonathan Weber</t>
  </si>
  <si>
    <t>Aristofanis Papadatos</t>
  </si>
  <si>
    <t>Ian Bezek</t>
  </si>
  <si>
    <t>Prakash Kolli</t>
  </si>
  <si>
    <t>Yiannis Zourmpanos</t>
  </si>
  <si>
    <t>Notes</t>
  </si>
  <si>
    <t>Data Provided by Intrinio</t>
  </si>
  <si>
    <t>Data updated on 2026-06-26</t>
  </si>
  <si>
    <t>Column</t>
  </si>
  <si>
    <t>Definition</t>
  </si>
  <si>
    <t>The company's ticker, used to identify it on the stock exchange.</t>
  </si>
  <si>
    <t>The business' operating name.</t>
  </si>
  <si>
    <t>Our recommendation on whether to buy, hold, or sell this security.</t>
  </si>
  <si>
    <t>The stock price at the time this recommendation was made.</t>
  </si>
  <si>
    <t>The company's most recent stock price (current to when this spreadsheet was last updated).</t>
  </si>
  <si>
    <t>Our estimate of the company's per-share intrinsic value.</t>
  </si>
  <si>
    <t>The ratio of the company's current stock price to our estimate of its fair value. Above 100% means overvalued while below 100% means undervalued.</t>
  </si>
  <si>
    <t>The percentage of the company's share price that it pays out each year.</t>
  </si>
  <si>
    <t>Our estimate of the annualized returns that the security will achieve from valuation expansion/contraction over the next 5 years.</t>
  </si>
  <si>
    <t>Our estimate of the annualized returns that the company will achieve from business growth over the next 5 years.</t>
  </si>
  <si>
    <t>Our estimate of the total annualized returns that the security will achieve over the next 5 years.</t>
  </si>
  <si>
    <t>A rank of the company's dividend risk. Higher is safer.</t>
  </si>
  <si>
    <t>The company's current stock price divided by our estimate of its per-share earnings power for the next 12 months.</t>
  </si>
  <si>
    <t>Our estimate for the company's per-share earnings (or a similar relevant metric) in the next full fiscal year.</t>
  </si>
  <si>
    <t>The dollar value of dividends paid out in one year for one share of the company.</t>
  </si>
  <si>
    <t>A measure of dividend safety that is calculated as the company's annual dividend payments divided by the company's annual earnings.</t>
  </si>
  <si>
    <t>The number of consecutive years that the company has increased its per-share dividend payment.</t>
  </si>
  <si>
    <t>Our estimate of the company's dividend growth rate over the next 5 years.</t>
  </si>
  <si>
    <t>The ex-dividend date is the day that the security no longer trades with the dividend (hence 'ex'). In order to receive the next dividend payment, you must own the security on the record date which is generally one business day before the ex-dividend date.</t>
  </si>
  <si>
    <t>The frequency at which the company pays dividends. Common values include Quarterly, Monthly, Semi-Annual, and Annual.</t>
  </si>
  <si>
    <t>The type of security that the company trades as. Examples include stock, REIT, MLP, and BDC.</t>
  </si>
  <si>
    <t>Indicates whether the company is headquartered internationally or not.</t>
  </si>
  <si>
    <t>The business sector that the company operates in.</t>
  </si>
  <si>
    <t>The company's current market capitalization, calculated as its stock price multiplied by the number of shares outstanding.</t>
  </si>
  <si>
    <t>The date of our last research report on the company.</t>
  </si>
  <si>
    <t>The analyst who wrote the last research report on the company.</t>
  </si>
</sst>
</file>

<file path=xl/styles.xml><?xml version="1.0" encoding="utf-8"?>
<styleSheet xmlns="http://schemas.openxmlformats.org/spreadsheetml/2006/main">
  <numFmts count="6">
    <numFmt numFmtId="164" formatCode="$#,##0.00"/>
    <numFmt numFmtId="165" formatCode="0.0%"/>
    <numFmt numFmtId="166" formatCode="0.0"/>
    <numFmt numFmtId="167" formatCode="yyyy-mm-dd"/>
    <numFmt numFmtId="168" formatCode="$#,##0"/>
    <numFmt numFmtId="169" formatCode="YYYY-MM-DD"/>
  </numFmts>
  <fonts count="3">
    <font>
      <sz val="11"/>
      <color theme="1"/>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DADADA"/>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0" fillId="2" borderId="1" xfId="0" applyFill="1" applyBorder="1"/>
    <xf numFmtId="0" fontId="1" fillId="2" borderId="1" xfId="0" applyFont="1" applyFill="1" applyBorder="1"/>
    <xf numFmtId="164" fontId="0" fillId="2" borderId="1" xfId="0" applyNumberFormat="1" applyFill="1" applyBorder="1"/>
    <xf numFmtId="165" fontId="0" fillId="2" borderId="1" xfId="0" applyNumberFormat="1" applyFill="1" applyBorder="1"/>
    <xf numFmtId="166" fontId="0" fillId="2" borderId="1" xfId="0" applyNumberFormat="1" applyFill="1" applyBorder="1"/>
    <xf numFmtId="167" fontId="0" fillId="2" borderId="1" xfId="0" applyNumberFormat="1" applyFill="1" applyBorder="1"/>
    <xf numFmtId="168" fontId="0" fillId="2" borderId="1" xfId="0" applyNumberFormat="1" applyFill="1" applyBorder="1"/>
    <xf numFmtId="0" fontId="2" fillId="0" borderId="1" xfId="0" applyFont="1" applyBorder="1" applyAlignment="1">
      <alignment horizontal="center" vertical="top"/>
    </xf>
    <xf numFmtId="0" fontId="0" fillId="3" borderId="0" xfId="0" applyFill="1"/>
    <xf numFmtId="169" fontId="0" fillId="0" borderId="0" xfId="0" applyNumberFormat="1"/>
  </cellXfs>
  <cellStyles count="1">
    <cellStyle name="Normal" xfId="0" builtinId="0"/>
  </cellStyles>
  <dxfs count="8">
    <dxf>
      <fill>
        <patternFill>
          <bgColor rgb="FFDADADA"/>
        </patternFill>
      </fill>
      <border>
        <left style="thin">
          <color auto="1"/>
        </left>
        <right style="thin">
          <color auto="1"/>
        </right>
        <top style="thin">
          <color auto="1"/>
        </top>
        <bottom style="thin">
          <color auto="1"/>
        </bottom>
        <vertical/>
        <horizontal/>
      </border>
    </dxf>
    <dxf>
      <font>
        <u/>
      </font>
      <fill>
        <patternFill>
          <bgColor rgb="FFDADADA"/>
        </patternFill>
      </fill>
      <border>
        <left style="thin">
          <color auto="1"/>
        </left>
        <right style="thin">
          <color auto="1"/>
        </right>
        <top style="thin">
          <color auto="1"/>
        </top>
        <bottom style="thin">
          <color auto="1"/>
        </bottom>
        <vertical/>
        <horizontal/>
      </border>
    </dxf>
    <dxf>
      <numFmt numFmtId="164" formatCode="$#,##0.00"/>
      <fill>
        <patternFill>
          <bgColor rgb="FFDADADA"/>
        </patternFill>
      </fill>
      <border>
        <left style="thin">
          <color auto="1"/>
        </left>
        <right style="thin">
          <color auto="1"/>
        </right>
        <top style="thin">
          <color auto="1"/>
        </top>
        <bottom style="thin">
          <color auto="1"/>
        </bottom>
        <vertical/>
        <horizontal/>
      </border>
    </dxf>
    <dxf>
      <numFmt numFmtId="165" formatCode="0.0%"/>
      <fill>
        <patternFill>
          <bgColor rgb="FFDADADA"/>
        </patternFill>
      </fill>
      <border>
        <left style="thin">
          <color auto="1"/>
        </left>
        <right style="thin">
          <color auto="1"/>
        </right>
        <top style="thin">
          <color auto="1"/>
        </top>
        <bottom style="thin">
          <color auto="1"/>
        </bottom>
        <vertical/>
        <horizontal/>
      </border>
    </dxf>
    <dxf>
      <numFmt numFmtId="166" formatCode="0.0"/>
      <fill>
        <patternFill>
          <bgColor rgb="FFDADADA"/>
        </patternFill>
      </fill>
      <border>
        <left style="thin">
          <color auto="1"/>
        </left>
        <right style="thin">
          <color auto="1"/>
        </right>
        <top style="thin">
          <color auto="1"/>
        </top>
        <bottom style="thin">
          <color auto="1"/>
        </bottom>
        <vertical/>
        <horizontal/>
      </border>
    </dxf>
    <dxf>
      <numFmt numFmtId="167" formatCode="yyyy-mm-dd"/>
      <fill>
        <patternFill>
          <bgColor rgb="FFDADADA"/>
        </patternFill>
      </fill>
      <border>
        <left style="thin">
          <color auto="1"/>
        </left>
        <right style="thin">
          <color auto="1"/>
        </right>
        <top style="thin">
          <color auto="1"/>
        </top>
        <bottom style="thin">
          <color auto="1"/>
        </bottom>
        <vertical/>
        <horizontal/>
      </border>
    </dxf>
    <dxf>
      <numFmt numFmtId="168" formatCode="$#,##0"/>
      <fill>
        <patternFill>
          <bgColor rgb="FFDADADA"/>
        </patternFill>
      </fill>
      <border>
        <left style="thin">
          <color auto="1"/>
        </left>
        <right style="thin">
          <color auto="1"/>
        </right>
        <top style="thin">
          <color auto="1"/>
        </top>
        <bottom style="thin">
          <color auto="1"/>
        </bottom>
        <vertical/>
        <horizontal/>
      </border>
    </dxf>
    <dxf>
      <font>
        <b/>
        <color rgb="FFFFFFFF"/>
      </font>
      <fill>
        <patternFill>
          <bgColor rgb="FF3F8071"/>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Z1236"/>
  <sheetViews>
    <sheetView tabSelected="1" workbookViewId="0"/>
  </sheetViews>
  <sheetFormatPr defaultRowHeight="15"/>
  <cols>
    <col min="1" max="1" width="12.7109375" style="1" customWidth="1"/>
    <col min="2" max="2" width="30.7109375" style="2" customWidth="1"/>
    <col min="3" max="3" width="20.7109375" style="1" customWidth="1"/>
    <col min="4" max="4" width="20.7109375" style="3" customWidth="1"/>
    <col min="5" max="5" width="20.7109375" style="3" customWidth="1"/>
    <col min="6" max="6" width="20.7109375" style="3" customWidth="1"/>
    <col min="7" max="7" width="20.7109375" style="4" customWidth="1"/>
    <col min="8" max="8" width="20.7109375" style="4" customWidth="1"/>
    <col min="9" max="9" width="24.7109375" style="4" customWidth="1"/>
    <col min="10" max="10" width="24.7109375" style="4" customWidth="1"/>
    <col min="11" max="11" width="30.7109375" style="4" customWidth="1"/>
    <col min="12" max="12" width="20.7109375" style="1" customWidth="1"/>
    <col min="13" max="13" width="28.7109375" style="5" customWidth="1"/>
    <col min="14" max="14" width="20.7109375" style="3" customWidth="1"/>
    <col min="15" max="15" width="28.7109375" style="3" customWidth="1"/>
    <col min="16" max="16" width="24.7109375" style="4" customWidth="1"/>
    <col min="17" max="17" width="28.7109375" style="1" customWidth="1"/>
    <col min="18" max="18" width="25.7109375" style="4" customWidth="1"/>
    <col min="19" max="19" width="22.7109375" style="1" customWidth="1"/>
    <col min="20" max="20" width="20.7109375" style="1" customWidth="1"/>
    <col min="21" max="21" width="23.7109375" style="1" customWidth="1"/>
    <col min="22" max="22" width="23.7109375" style="1" customWidth="1"/>
    <col min="23" max="23" width="25.7109375" style="6" customWidth="1"/>
    <col min="24" max="24" width="25.7109375" style="7" customWidth="1"/>
    <col min="25" max="25" width="25.7109375" style="1" customWidth="1"/>
    <col min="26" max="26" width="25.7109375" style="1" customWidth="1"/>
  </cols>
  <sheetData>
    <row r="1" spans="1:52">
      <c r="A1" s="8" t="s">
        <v>25</v>
      </c>
      <c r="B1" s="8" t="s">
        <v>0</v>
      </c>
      <c r="C1" s="8" t="s">
        <v>1</v>
      </c>
      <c r="D1" s="8" t="s">
        <v>2</v>
      </c>
      <c r="E1" s="8" t="s">
        <v>3</v>
      </c>
      <c r="F1" s="8" t="s">
        <v>4</v>
      </c>
      <c r="G1" s="8" t="s">
        <v>5</v>
      </c>
      <c r="H1" s="8" t="s">
        <v>6</v>
      </c>
      <c r="I1" s="8" t="s">
        <v>7</v>
      </c>
      <c r="J1" s="8" t="s">
        <v>8</v>
      </c>
      <c r="K1" s="8" t="s">
        <v>9</v>
      </c>
      <c r="L1" s="8" t="s">
        <v>10</v>
      </c>
      <c r="M1" s="8" t="s">
        <v>11</v>
      </c>
      <c r="N1" s="8" t="s">
        <v>12</v>
      </c>
      <c r="O1" s="8" t="s">
        <v>13</v>
      </c>
      <c r="P1" s="8" t="s">
        <v>14</v>
      </c>
      <c r="Q1" s="8" t="s">
        <v>15</v>
      </c>
      <c r="R1" s="8" t="s">
        <v>16</v>
      </c>
      <c r="S1" s="8" t="s">
        <v>17</v>
      </c>
      <c r="T1" s="8" t="s">
        <v>18</v>
      </c>
      <c r="U1" s="8" t="s">
        <v>19</v>
      </c>
      <c r="V1" s="8" t="s">
        <v>20</v>
      </c>
      <c r="W1" s="8" t="s">
        <v>21</v>
      </c>
      <c r="X1" s="8" t="s">
        <v>22</v>
      </c>
      <c r="Y1" s="8" t="s">
        <v>23</v>
      </c>
      <c r="Z1" s="8" t="s">
        <v>24</v>
      </c>
      <c r="AA1" s="9"/>
      <c r="AB1" s="9"/>
      <c r="AC1" s="9"/>
      <c r="AD1" s="9"/>
      <c r="AE1" s="9"/>
      <c r="AF1" s="9"/>
      <c r="AG1" s="9"/>
      <c r="AH1" s="9"/>
      <c r="AI1" s="9"/>
      <c r="AJ1" s="9"/>
      <c r="AK1" s="9"/>
      <c r="AL1" s="9"/>
      <c r="AM1" s="9"/>
      <c r="AN1" s="9"/>
      <c r="AO1" s="9"/>
      <c r="AP1" s="9"/>
      <c r="AQ1" s="9"/>
      <c r="AR1" s="9"/>
      <c r="AS1" s="9"/>
      <c r="AT1" s="9"/>
      <c r="AU1" s="9"/>
      <c r="AV1" s="9"/>
      <c r="AW1" s="9"/>
      <c r="AX1" s="9"/>
      <c r="AY1" s="9"/>
      <c r="AZ1" s="9"/>
    </row>
    <row r="2" spans="1:52">
      <c r="A2" s="8" t="s">
        <v>26</v>
      </c>
      <c r="B2" s="2">
        <f>HYPERLINK("https://www.suredividend.com/sure-analysis-FFMR/","First Farmers Financial Corp")</f>
        <v>0</v>
      </c>
      <c r="C2" s="1" t="s">
        <v>262</v>
      </c>
      <c r="D2" s="3">
        <v>66</v>
      </c>
      <c r="E2" s="3">
        <v>34.05</v>
      </c>
      <c r="F2" s="3">
        <v>66</v>
      </c>
      <c r="G2" s="4">
        <v>0.5159090909090909</v>
      </c>
      <c r="H2" s="4">
        <v>0.05756240822320118</v>
      </c>
      <c r="I2" s="4">
        <v>0.141524833486725</v>
      </c>
      <c r="J2" s="4">
        <v>0.05</v>
      </c>
      <c r="K2" s="4">
        <v>0.22933441486336</v>
      </c>
      <c r="L2" s="1" t="s">
        <v>266</v>
      </c>
      <c r="M2" s="5">
        <v>5.675</v>
      </c>
      <c r="N2" s="3">
        <v>6</v>
      </c>
      <c r="O2" s="3">
        <v>1.96</v>
      </c>
      <c r="P2" s="4">
        <v>0.3266666666666667</v>
      </c>
      <c r="Q2" s="1">
        <v>34</v>
      </c>
      <c r="R2" s="4">
        <v>0.04987304960985517</v>
      </c>
      <c r="T2" s="1" t="s">
        <v>332</v>
      </c>
      <c r="U2" s="1" t="s">
        <v>336</v>
      </c>
      <c r="V2" s="1" t="s">
        <v>340</v>
      </c>
      <c r="W2" s="6" t="s">
        <v>342</v>
      </c>
      <c r="Y2" s="10">
        <v>45802</v>
      </c>
      <c r="Z2" s="1" t="s">
        <v>353</v>
      </c>
      <c r="AA2" s="9"/>
      <c r="AB2" s="9"/>
      <c r="AC2" s="9"/>
      <c r="AD2" s="9"/>
      <c r="AE2" s="9"/>
      <c r="AF2" s="9"/>
      <c r="AG2" s="9"/>
      <c r="AH2" s="9"/>
      <c r="AI2" s="9"/>
      <c r="AJ2" s="9"/>
      <c r="AK2" s="9"/>
      <c r="AL2" s="9"/>
      <c r="AM2" s="9"/>
      <c r="AN2" s="9"/>
      <c r="AO2" s="9"/>
      <c r="AP2" s="9"/>
      <c r="AQ2" s="9"/>
      <c r="AR2" s="9"/>
      <c r="AS2" s="9"/>
      <c r="AT2" s="9"/>
      <c r="AU2" s="9"/>
      <c r="AV2" s="9"/>
      <c r="AW2" s="9"/>
      <c r="AX2" s="9"/>
      <c r="AY2" s="9"/>
      <c r="AZ2" s="9"/>
    </row>
    <row r="3" spans="1:52">
      <c r="A3" s="8" t="s">
        <v>27</v>
      </c>
      <c r="B3" s="2">
        <f>HYPERLINK("https://www.suredividend.com/sure-analysis-FINV/","FinVolution Group")</f>
        <v>0</v>
      </c>
      <c r="C3" s="1" t="s">
        <v>262</v>
      </c>
      <c r="D3" s="3">
        <v>4.7</v>
      </c>
      <c r="E3" s="3">
        <v>4.715</v>
      </c>
      <c r="F3" s="3">
        <v>6</v>
      </c>
      <c r="G3" s="4">
        <v>0.7858333333333333</v>
      </c>
      <c r="H3" s="4">
        <v>0.06574761399787911</v>
      </c>
      <c r="I3" s="4">
        <v>0.04938272529512577</v>
      </c>
      <c r="J3" s="4">
        <v>0.11</v>
      </c>
      <c r="K3" s="4">
        <v>0.2087708018579695</v>
      </c>
      <c r="L3" s="1" t="s">
        <v>266</v>
      </c>
      <c r="M3" s="5">
        <v>3.929166666666667</v>
      </c>
      <c r="N3" s="3">
        <v>1.2</v>
      </c>
      <c r="O3" s="3">
        <v>0.31</v>
      </c>
      <c r="P3" s="4">
        <v>0.2583333333333334</v>
      </c>
      <c r="Q3" s="1">
        <v>6</v>
      </c>
      <c r="R3" s="4">
        <v>0.09588978104084478</v>
      </c>
      <c r="S3" s="1" t="s">
        <v>271</v>
      </c>
      <c r="T3" s="1" t="s">
        <v>333</v>
      </c>
      <c r="U3" s="1" t="s">
        <v>336</v>
      </c>
      <c r="V3" s="1" t="s">
        <v>341</v>
      </c>
      <c r="W3" s="6" t="s">
        <v>342</v>
      </c>
      <c r="X3" s="7">
        <v>2291.778299</v>
      </c>
      <c r="Y3" s="10">
        <v>46168</v>
      </c>
      <c r="Z3" s="1" t="s">
        <v>354</v>
      </c>
      <c r="AA3" s="9"/>
      <c r="AB3" s="9"/>
      <c r="AC3" s="9"/>
      <c r="AD3" s="9"/>
      <c r="AE3" s="9"/>
      <c r="AF3" s="9"/>
      <c r="AG3" s="9"/>
      <c r="AH3" s="9"/>
      <c r="AI3" s="9"/>
      <c r="AJ3" s="9"/>
      <c r="AK3" s="9"/>
      <c r="AL3" s="9"/>
      <c r="AM3" s="9"/>
      <c r="AN3" s="9"/>
      <c r="AO3" s="9"/>
      <c r="AP3" s="9"/>
      <c r="AQ3" s="9"/>
      <c r="AR3" s="9"/>
      <c r="AS3" s="9"/>
      <c r="AT3" s="9"/>
      <c r="AU3" s="9"/>
      <c r="AV3" s="9"/>
      <c r="AW3" s="9"/>
      <c r="AX3" s="9"/>
      <c r="AY3" s="9"/>
      <c r="AZ3" s="9"/>
    </row>
    <row r="4" spans="1:52">
      <c r="A4" s="8" t="s">
        <v>28</v>
      </c>
      <c r="B4" s="2">
        <f>HYPERLINK("https://www.suredividend.com/sure-analysis-PEP/","PepsiCo Inc")</f>
        <v>0</v>
      </c>
      <c r="C4" s="1" t="s">
        <v>262</v>
      </c>
      <c r="D4" s="3">
        <v>158</v>
      </c>
      <c r="E4" s="3">
        <v>140.5</v>
      </c>
      <c r="F4" s="3">
        <v>205</v>
      </c>
      <c r="G4" s="4">
        <v>0.6853658536585366</v>
      </c>
      <c r="H4" s="4">
        <v>0.04213523131672598</v>
      </c>
      <c r="I4" s="4">
        <v>0.0784884722186856</v>
      </c>
      <c r="J4" s="4">
        <v>0.06</v>
      </c>
      <c r="K4" s="4">
        <v>0.1712619243464142</v>
      </c>
      <c r="L4" s="1" t="s">
        <v>266</v>
      </c>
      <c r="M4" s="5">
        <v>16.43274853801169</v>
      </c>
      <c r="N4" s="3">
        <v>8.550000000000001</v>
      </c>
      <c r="O4" s="3">
        <v>5.92</v>
      </c>
      <c r="P4" s="4">
        <v>0.6923976608187133</v>
      </c>
      <c r="Q4" s="1">
        <v>54</v>
      </c>
      <c r="R4" s="4">
        <v>0.05993856763806171</v>
      </c>
      <c r="S4" s="1" t="s">
        <v>272</v>
      </c>
      <c r="T4" s="1" t="s">
        <v>332</v>
      </c>
      <c r="U4" s="1" t="s">
        <v>336</v>
      </c>
      <c r="V4" s="1" t="s">
        <v>340</v>
      </c>
      <c r="W4" s="6" t="s">
        <v>343</v>
      </c>
      <c r="X4" s="7">
        <v>190691.515309</v>
      </c>
      <c r="Y4" s="10">
        <v>46132</v>
      </c>
      <c r="Z4" s="1" t="s">
        <v>355</v>
      </c>
      <c r="AA4" s="9"/>
      <c r="AB4" s="9"/>
      <c r="AC4" s="9"/>
      <c r="AD4" s="9"/>
      <c r="AE4" s="9"/>
      <c r="AF4" s="9"/>
      <c r="AG4" s="9"/>
      <c r="AH4" s="9"/>
      <c r="AI4" s="9"/>
      <c r="AJ4" s="9"/>
      <c r="AK4" s="9"/>
      <c r="AL4" s="9"/>
      <c r="AM4" s="9"/>
      <c r="AN4" s="9"/>
      <c r="AO4" s="9"/>
      <c r="AP4" s="9"/>
      <c r="AQ4" s="9"/>
      <c r="AR4" s="9"/>
      <c r="AS4" s="9"/>
      <c r="AT4" s="9"/>
      <c r="AU4" s="9"/>
      <c r="AV4" s="9"/>
      <c r="AW4" s="9"/>
      <c r="AX4" s="9"/>
      <c r="AY4" s="9"/>
      <c r="AZ4" s="9"/>
    </row>
    <row r="5" spans="1:52">
      <c r="A5" s="8" t="s">
        <v>29</v>
      </c>
      <c r="B5" s="2">
        <f>HYPERLINK("https://www.suredividend.com/sure-analysis-KVUE/","Kenvue Inc")</f>
        <v>0</v>
      </c>
      <c r="C5" s="1" t="s">
        <v>263</v>
      </c>
      <c r="D5" s="3">
        <v>17.6</v>
      </c>
      <c r="E5" s="3">
        <v>19</v>
      </c>
      <c r="F5" s="3">
        <v>15.68</v>
      </c>
      <c r="G5" s="4">
        <v>1.211734693877551</v>
      </c>
      <c r="H5" s="4">
        <v>0.04368421052631579</v>
      </c>
      <c r="I5" s="4">
        <v>-0.03768226101872085</v>
      </c>
      <c r="J5" s="4">
        <v>0.03</v>
      </c>
      <c r="K5" s="4">
        <v>0.03631586714005075</v>
      </c>
      <c r="L5" s="1" t="s">
        <v>266</v>
      </c>
      <c r="M5" s="5">
        <v>16.96428571428571</v>
      </c>
      <c r="N5" s="3">
        <v>1.12</v>
      </c>
      <c r="O5" s="3">
        <v>0.83</v>
      </c>
      <c r="P5" s="4">
        <v>0.7410714285714285</v>
      </c>
      <c r="Q5" s="1">
        <v>63</v>
      </c>
      <c r="R5" s="4">
        <v>0.02952910360273897</v>
      </c>
      <c r="S5" s="1" t="s">
        <v>273</v>
      </c>
      <c r="T5" s="1" t="s">
        <v>332</v>
      </c>
      <c r="U5" s="1" t="s">
        <v>336</v>
      </c>
      <c r="V5" s="1" t="s">
        <v>340</v>
      </c>
      <c r="W5" s="6" t="s">
        <v>343</v>
      </c>
      <c r="X5" s="7">
        <v>36403.364345</v>
      </c>
      <c r="Y5" s="10">
        <v>46169</v>
      </c>
      <c r="Z5" s="1" t="s">
        <v>355</v>
      </c>
      <c r="AA5" s="9"/>
      <c r="AB5" s="9"/>
      <c r="AC5" s="9"/>
      <c r="AD5" s="9"/>
      <c r="AE5" s="9"/>
      <c r="AF5" s="9"/>
      <c r="AG5" s="9"/>
      <c r="AH5" s="9"/>
      <c r="AI5" s="9"/>
      <c r="AJ5" s="9"/>
      <c r="AK5" s="9"/>
      <c r="AL5" s="9"/>
      <c r="AM5" s="9"/>
      <c r="AN5" s="9"/>
      <c r="AO5" s="9"/>
      <c r="AP5" s="9"/>
      <c r="AQ5" s="9"/>
      <c r="AR5" s="9"/>
      <c r="AS5" s="9"/>
      <c r="AT5" s="9"/>
      <c r="AU5" s="9"/>
      <c r="AV5" s="9"/>
      <c r="AW5" s="9"/>
      <c r="AX5" s="9"/>
      <c r="AY5" s="9"/>
      <c r="AZ5" s="9"/>
    </row>
    <row r="6" spans="1:52">
      <c r="A6" s="8" t="s">
        <v>30</v>
      </c>
      <c r="B6" s="2">
        <f>HYPERLINK("https://www.suredividend.com/sure-analysis-DOX/","Amdocs Ltd")</f>
        <v>0</v>
      </c>
      <c r="C6" s="1" t="s">
        <v>262</v>
      </c>
      <c r="D6" s="3">
        <v>63</v>
      </c>
      <c r="E6" s="3">
        <v>49.9</v>
      </c>
      <c r="F6" s="3">
        <v>104</v>
      </c>
      <c r="G6" s="4">
        <v>0.4798076923076923</v>
      </c>
      <c r="H6" s="4">
        <v>0.04569138276553106</v>
      </c>
      <c r="I6" s="4">
        <v>0.1582079956233418</v>
      </c>
      <c r="J6" s="4">
        <v>0.06</v>
      </c>
      <c r="K6" s="4">
        <v>0.2508414749058165</v>
      </c>
      <c r="L6" s="1" t="s">
        <v>267</v>
      </c>
      <c r="M6" s="5">
        <v>6.697986577181208</v>
      </c>
      <c r="N6" s="3">
        <v>7.45</v>
      </c>
      <c r="O6" s="3">
        <v>2.28</v>
      </c>
      <c r="P6" s="4">
        <v>0.3060402684563758</v>
      </c>
      <c r="Q6" s="1">
        <v>13</v>
      </c>
      <c r="R6" s="4">
        <v>0.05991978372638118</v>
      </c>
      <c r="S6" s="1" t="s">
        <v>274</v>
      </c>
      <c r="T6" s="1" t="s">
        <v>332</v>
      </c>
      <c r="U6" s="1" t="s">
        <v>336</v>
      </c>
      <c r="V6" s="1" t="s">
        <v>341</v>
      </c>
      <c r="W6" s="6" t="s">
        <v>344</v>
      </c>
      <c r="X6" s="7">
        <v>5408.315524</v>
      </c>
      <c r="Y6" s="10">
        <v>46167</v>
      </c>
      <c r="Z6" s="1" t="s">
        <v>356</v>
      </c>
      <c r="AA6" s="9"/>
      <c r="AB6" s="9"/>
      <c r="AC6" s="9"/>
      <c r="AD6" s="9"/>
      <c r="AE6" s="9"/>
      <c r="AF6" s="9"/>
      <c r="AG6" s="9"/>
      <c r="AH6" s="9"/>
      <c r="AI6" s="9"/>
      <c r="AJ6" s="9"/>
      <c r="AK6" s="9"/>
      <c r="AL6" s="9"/>
      <c r="AM6" s="9"/>
      <c r="AN6" s="9"/>
      <c r="AO6" s="9"/>
      <c r="AP6" s="9"/>
      <c r="AQ6" s="9"/>
      <c r="AR6" s="9"/>
      <c r="AS6" s="9"/>
      <c r="AT6" s="9"/>
      <c r="AU6" s="9"/>
      <c r="AV6" s="9"/>
      <c r="AW6" s="9"/>
      <c r="AX6" s="9"/>
      <c r="AY6" s="9"/>
      <c r="AZ6" s="9"/>
    </row>
    <row r="7" spans="1:52">
      <c r="A7" s="8" t="s">
        <v>31</v>
      </c>
      <c r="B7" s="2">
        <f>HYPERLINK("https://www.suredividend.com/sure-analysis-ACI/","Albertsons Companies Inc")</f>
        <v>0</v>
      </c>
      <c r="C7" s="1" t="s">
        <v>262</v>
      </c>
      <c r="D7" s="3">
        <v>16.72</v>
      </c>
      <c r="E7" s="3">
        <v>13.83</v>
      </c>
      <c r="F7" s="3">
        <v>22</v>
      </c>
      <c r="G7" s="4">
        <v>0.6286363636363637</v>
      </c>
      <c r="H7" s="4">
        <v>0.04916847433116414</v>
      </c>
      <c r="I7" s="4">
        <v>0.09728666187474189</v>
      </c>
      <c r="J7" s="4">
        <v>0.08</v>
      </c>
      <c r="K7" s="4">
        <v>0.2168918592254594</v>
      </c>
      <c r="L7" s="1" t="s">
        <v>267</v>
      </c>
      <c r="M7" s="5">
        <v>6.915</v>
      </c>
      <c r="N7" s="3">
        <v>2</v>
      </c>
      <c r="O7" s="3">
        <v>0.68</v>
      </c>
      <c r="P7" s="4">
        <v>0.34</v>
      </c>
      <c r="Q7" s="1">
        <v>3</v>
      </c>
      <c r="R7" s="4">
        <v>0.1009732178211216</v>
      </c>
      <c r="S7" s="1" t="s">
        <v>275</v>
      </c>
      <c r="T7" s="1" t="s">
        <v>332</v>
      </c>
      <c r="U7" s="1" t="s">
        <v>336</v>
      </c>
      <c r="V7" s="1" t="s">
        <v>340</v>
      </c>
      <c r="W7" s="6" t="s">
        <v>343</v>
      </c>
      <c r="X7" s="7">
        <v>6804.799426</v>
      </c>
      <c r="Y7" s="10">
        <v>46133</v>
      </c>
      <c r="Z7" s="1" t="s">
        <v>357</v>
      </c>
      <c r="AA7" s="9"/>
      <c r="AB7" s="9"/>
      <c r="AC7" s="9"/>
      <c r="AD7" s="9"/>
      <c r="AE7" s="9"/>
      <c r="AF7" s="9"/>
      <c r="AG7" s="9"/>
      <c r="AH7" s="9"/>
      <c r="AI7" s="9"/>
      <c r="AJ7" s="9"/>
      <c r="AK7" s="9"/>
      <c r="AL7" s="9"/>
      <c r="AM7" s="9"/>
      <c r="AN7" s="9"/>
      <c r="AO7" s="9"/>
      <c r="AP7" s="9"/>
      <c r="AQ7" s="9"/>
      <c r="AR7" s="9"/>
      <c r="AS7" s="9"/>
      <c r="AT7" s="9"/>
      <c r="AU7" s="9"/>
      <c r="AV7" s="9"/>
      <c r="AW7" s="9"/>
      <c r="AX7" s="9"/>
      <c r="AY7" s="9"/>
      <c r="AZ7" s="9"/>
    </row>
    <row r="8" spans="1:52">
      <c r="A8" s="8" t="s">
        <v>32</v>
      </c>
      <c r="B8" s="2">
        <f>HYPERLINK("https://www.suredividend.com/sure-analysis-BX/","Blackstone Inc")</f>
        <v>0</v>
      </c>
      <c r="C8" s="1" t="s">
        <v>262</v>
      </c>
      <c r="D8" s="3">
        <v>122</v>
      </c>
      <c r="E8" s="3">
        <v>114.18</v>
      </c>
      <c r="F8" s="3">
        <v>141</v>
      </c>
      <c r="G8" s="4">
        <v>0.8097872340425533</v>
      </c>
      <c r="H8" s="4">
        <v>0.04063758977053774</v>
      </c>
      <c r="I8" s="4">
        <v>0.04309968630714756</v>
      </c>
      <c r="J8" s="4">
        <v>0.12</v>
      </c>
      <c r="K8" s="4">
        <v>0.1977917174280108</v>
      </c>
      <c r="L8" s="1" t="s">
        <v>267</v>
      </c>
      <c r="M8" s="5">
        <v>17.86854460093897</v>
      </c>
      <c r="N8" s="3">
        <v>6.39</v>
      </c>
      <c r="O8" s="3">
        <v>4.64</v>
      </c>
      <c r="P8" s="4">
        <v>0.7261345852895148</v>
      </c>
      <c r="Q8" s="1">
        <v>2</v>
      </c>
      <c r="R8" s="4">
        <v>0.1200748986607583</v>
      </c>
      <c r="S8" s="1" t="s">
        <v>276</v>
      </c>
      <c r="T8" s="1" t="s">
        <v>332</v>
      </c>
      <c r="U8" s="1" t="s">
        <v>336</v>
      </c>
      <c r="V8" s="1" t="s">
        <v>340</v>
      </c>
      <c r="W8" s="6" t="s">
        <v>342</v>
      </c>
      <c r="X8" s="7">
        <v>80129.343162</v>
      </c>
      <c r="Y8" s="10">
        <v>46137</v>
      </c>
      <c r="Z8" s="1" t="s">
        <v>358</v>
      </c>
      <c r="AA8" s="9"/>
      <c r="AB8" s="9"/>
      <c r="AC8" s="9"/>
      <c r="AD8" s="9"/>
      <c r="AE8" s="9"/>
      <c r="AF8" s="9"/>
      <c r="AG8" s="9"/>
      <c r="AH8" s="9"/>
      <c r="AI8" s="9"/>
      <c r="AJ8" s="9"/>
      <c r="AK8" s="9"/>
      <c r="AL8" s="9"/>
      <c r="AM8" s="9"/>
      <c r="AN8" s="9"/>
      <c r="AO8" s="9"/>
      <c r="AP8" s="9"/>
      <c r="AQ8" s="9"/>
      <c r="AR8" s="9"/>
      <c r="AS8" s="9"/>
      <c r="AT8" s="9"/>
      <c r="AU8" s="9"/>
      <c r="AV8" s="9"/>
      <c r="AW8" s="9"/>
      <c r="AX8" s="9"/>
      <c r="AY8" s="9"/>
      <c r="AZ8" s="9"/>
    </row>
    <row r="9" spans="1:52">
      <c r="A9" s="8" t="s">
        <v>33</v>
      </c>
      <c r="B9" s="2">
        <f>HYPERLINK("https://www.suredividend.com/sure-analysis-HRB/","H&amp;R Block Inc.")</f>
        <v>0</v>
      </c>
      <c r="C9" s="1" t="s">
        <v>262</v>
      </c>
      <c r="D9" s="3">
        <v>38</v>
      </c>
      <c r="E9" s="3">
        <v>36</v>
      </c>
      <c r="F9" s="3">
        <v>52</v>
      </c>
      <c r="G9" s="4">
        <v>0.6923076923076923</v>
      </c>
      <c r="H9" s="4">
        <v>0.04666666666666666</v>
      </c>
      <c r="I9" s="4">
        <v>0.07631692251481081</v>
      </c>
      <c r="J9" s="4">
        <v>0.08</v>
      </c>
      <c r="K9" s="4">
        <v>0.1923292566394399</v>
      </c>
      <c r="L9" s="1" t="s">
        <v>267</v>
      </c>
      <c r="M9" s="5">
        <v>6.990291262135922</v>
      </c>
      <c r="N9" s="3">
        <v>5.15</v>
      </c>
      <c r="O9" s="3">
        <v>1.68</v>
      </c>
      <c r="P9" s="4">
        <v>0.3262135922330097</v>
      </c>
      <c r="Q9" s="1">
        <v>11</v>
      </c>
      <c r="R9" s="4">
        <v>0.07033701387905711</v>
      </c>
      <c r="S9" s="1" t="s">
        <v>277</v>
      </c>
      <c r="T9" s="1" t="s">
        <v>332</v>
      </c>
      <c r="U9" s="1" t="s">
        <v>336</v>
      </c>
      <c r="V9" s="1" t="s">
        <v>340</v>
      </c>
      <c r="W9" s="6" t="s">
        <v>345</v>
      </c>
      <c r="X9" s="7">
        <v>4535.480206</v>
      </c>
      <c r="Y9" s="10">
        <v>46180</v>
      </c>
      <c r="Z9" s="1" t="s">
        <v>357</v>
      </c>
      <c r="AA9" s="9"/>
      <c r="AB9" s="9"/>
      <c r="AC9" s="9"/>
      <c r="AD9" s="9"/>
      <c r="AE9" s="9"/>
      <c r="AF9" s="9"/>
      <c r="AG9" s="9"/>
      <c r="AH9" s="9"/>
      <c r="AI9" s="9"/>
      <c r="AJ9" s="9"/>
      <c r="AK9" s="9"/>
      <c r="AL9" s="9"/>
      <c r="AM9" s="9"/>
      <c r="AN9" s="9"/>
      <c r="AO9" s="9"/>
      <c r="AP9" s="9"/>
      <c r="AQ9" s="9"/>
      <c r="AR9" s="9"/>
      <c r="AS9" s="9"/>
      <c r="AT9" s="9"/>
      <c r="AU9" s="9"/>
      <c r="AV9" s="9"/>
      <c r="AW9" s="9"/>
      <c r="AX9" s="9"/>
      <c r="AY9" s="9"/>
      <c r="AZ9" s="9"/>
    </row>
    <row r="10" spans="1:52">
      <c r="A10" s="8" t="s">
        <v>34</v>
      </c>
      <c r="B10" s="2">
        <f>HYPERLINK("https://www.suredividend.com/sure-analysis-VSNT/","Versant Media Group, Inc.")</f>
        <v>0</v>
      </c>
      <c r="C10" s="1" t="s">
        <v>263</v>
      </c>
      <c r="D10" s="3">
        <v>41</v>
      </c>
      <c r="E10" s="3">
        <v>36</v>
      </c>
      <c r="F10" s="3">
        <v>37</v>
      </c>
      <c r="G10" s="4">
        <v>0.972972972972973</v>
      </c>
      <c r="H10" s="4">
        <v>0.04166666666666666</v>
      </c>
      <c r="I10" s="4">
        <v>0.005494836375650625</v>
      </c>
      <c r="J10" s="4">
        <v>0.15</v>
      </c>
      <c r="K10" s="4">
        <v>0.1844196612397373</v>
      </c>
      <c r="L10" s="1" t="s">
        <v>267</v>
      </c>
      <c r="M10" s="5">
        <v>8.780487804878049</v>
      </c>
      <c r="N10" s="3">
        <v>4.1</v>
      </c>
      <c r="O10" s="3">
        <v>1.5</v>
      </c>
      <c r="P10" s="4">
        <v>0.3658536585365854</v>
      </c>
      <c r="Q10" s="1">
        <v>17</v>
      </c>
      <c r="R10" s="4">
        <v>0.0796084730466029</v>
      </c>
      <c r="S10" s="1" t="s">
        <v>278</v>
      </c>
      <c r="T10" s="1" t="s">
        <v>332</v>
      </c>
      <c r="U10" s="1" t="s">
        <v>336</v>
      </c>
      <c r="V10" s="1" t="s">
        <v>340</v>
      </c>
      <c r="W10" s="6" t="s">
        <v>346</v>
      </c>
      <c r="Y10" s="10">
        <v>46184</v>
      </c>
      <c r="Z10" s="1" t="s">
        <v>357</v>
      </c>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row>
    <row r="11" spans="1:52">
      <c r="A11" s="8" t="s">
        <v>35</v>
      </c>
      <c r="B11" s="2">
        <f>HYPERLINK("https://www.suredividend.com/sure-analysis-AMCR/","Amcor Plc")</f>
        <v>0</v>
      </c>
      <c r="C11" s="1" t="s">
        <v>262</v>
      </c>
      <c r="D11" s="3">
        <v>39</v>
      </c>
      <c r="E11" s="3">
        <v>42.74</v>
      </c>
      <c r="F11" s="3">
        <v>60</v>
      </c>
      <c r="G11" s="4">
        <v>0.7123333333333334</v>
      </c>
      <c r="H11" s="4">
        <v>0.06083294337856809</v>
      </c>
      <c r="I11" s="4">
        <v>0.07019605693151143</v>
      </c>
      <c r="J11" s="4">
        <v>0.07000000000000001</v>
      </c>
      <c r="K11" s="4">
        <v>0.1824293477692842</v>
      </c>
      <c r="L11" s="1" t="s">
        <v>267</v>
      </c>
      <c r="M11" s="5">
        <v>10.71177944862155</v>
      </c>
      <c r="N11" s="3">
        <v>3.99</v>
      </c>
      <c r="O11" s="3">
        <v>2.6</v>
      </c>
      <c r="P11" s="4">
        <v>0.6516290726817042</v>
      </c>
      <c r="Q11" s="1">
        <v>42</v>
      </c>
      <c r="R11" s="4">
        <v>0.03978308212039239</v>
      </c>
      <c r="S11" s="1" t="s">
        <v>279</v>
      </c>
      <c r="T11" s="1" t="s">
        <v>332</v>
      </c>
      <c r="U11" s="1" t="s">
        <v>336</v>
      </c>
      <c r="V11" s="1" t="s">
        <v>341</v>
      </c>
      <c r="W11" s="6" t="s">
        <v>347</v>
      </c>
      <c r="X11" s="7">
        <v>19816.136273</v>
      </c>
      <c r="Y11" s="10">
        <v>46182</v>
      </c>
      <c r="Z11" s="1" t="s">
        <v>359</v>
      </c>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row>
    <row r="12" spans="1:52">
      <c r="A12" s="8" t="s">
        <v>36</v>
      </c>
      <c r="B12" s="2">
        <f>HYPERLINK("https://www.suredividend.com/sure-analysis-CMCSA/","Comcast Corp")</f>
        <v>0</v>
      </c>
      <c r="C12" s="1" t="s">
        <v>262</v>
      </c>
      <c r="D12" s="3">
        <v>27</v>
      </c>
      <c r="E12" s="3">
        <v>22.79</v>
      </c>
      <c r="F12" s="3">
        <v>31</v>
      </c>
      <c r="G12" s="4">
        <v>0.7351612903225806</v>
      </c>
      <c r="H12" s="4">
        <v>0.05792014041246161</v>
      </c>
      <c r="I12" s="4">
        <v>0.0634656671448468</v>
      </c>
      <c r="J12" s="4">
        <v>0.065</v>
      </c>
      <c r="K12" s="4">
        <v>0.1724020846231058</v>
      </c>
      <c r="L12" s="1" t="s">
        <v>267</v>
      </c>
      <c r="M12" s="5">
        <v>6.605797101449275</v>
      </c>
      <c r="N12" s="3">
        <v>3.45</v>
      </c>
      <c r="O12" s="3">
        <v>1.32</v>
      </c>
      <c r="P12" s="4">
        <v>0.3826086956521739</v>
      </c>
      <c r="Q12" s="1">
        <v>17</v>
      </c>
      <c r="R12" s="4">
        <v>0.06517491140365261</v>
      </c>
      <c r="S12" s="1" t="s">
        <v>278</v>
      </c>
      <c r="T12" s="1" t="s">
        <v>332</v>
      </c>
      <c r="U12" s="1" t="s">
        <v>336</v>
      </c>
      <c r="V12" s="1" t="s">
        <v>340</v>
      </c>
      <c r="W12" s="6" t="s">
        <v>346</v>
      </c>
      <c r="X12" s="7">
        <v>81053.86595799999</v>
      </c>
      <c r="Y12" s="10">
        <v>46143</v>
      </c>
      <c r="Z12" s="1" t="s">
        <v>360</v>
      </c>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row>
    <row r="13" spans="1:52">
      <c r="A13" s="8" t="s">
        <v>37</v>
      </c>
      <c r="B13" s="2">
        <f>HYPERLINK("https://www.suredividend.com/sure-analysis-SNY/","Sanofi")</f>
        <v>0</v>
      </c>
      <c r="C13" s="1" t="s">
        <v>262</v>
      </c>
      <c r="D13" s="3">
        <v>47</v>
      </c>
      <c r="E13" s="3">
        <v>42.3</v>
      </c>
      <c r="F13" s="3">
        <v>65</v>
      </c>
      <c r="G13" s="4">
        <v>0.6507692307692308</v>
      </c>
      <c r="H13" s="4">
        <v>0.05721040189125295</v>
      </c>
      <c r="I13" s="4">
        <v>0.089719187353688</v>
      </c>
      <c r="J13" s="4">
        <v>0.04</v>
      </c>
      <c r="K13" s="4">
        <v>0.1699026595686415</v>
      </c>
      <c r="L13" s="1" t="s">
        <v>267</v>
      </c>
      <c r="M13" s="5">
        <v>8.511066398390343</v>
      </c>
      <c r="N13" s="3">
        <v>4.97</v>
      </c>
      <c r="O13" s="3">
        <v>2.42</v>
      </c>
      <c r="P13" s="4">
        <v>0.4869215291750503</v>
      </c>
      <c r="Q13" s="1">
        <v>31</v>
      </c>
      <c r="R13" s="4">
        <v>0.03969604731203935</v>
      </c>
      <c r="S13" s="1" t="s">
        <v>276</v>
      </c>
      <c r="T13" s="1" t="s">
        <v>333</v>
      </c>
      <c r="U13" s="1" t="s">
        <v>336</v>
      </c>
      <c r="V13" s="1" t="s">
        <v>341</v>
      </c>
      <c r="W13" s="6" t="s">
        <v>348</v>
      </c>
      <c r="X13" s="7">
        <v>50972.052613</v>
      </c>
      <c r="Y13" s="10">
        <v>46140</v>
      </c>
      <c r="Z13" s="1" t="s">
        <v>355</v>
      </c>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row>
    <row r="14" spans="1:52">
      <c r="A14" s="8" t="s">
        <v>38</v>
      </c>
      <c r="B14" s="2">
        <f>HYPERLINK("https://www.suredividend.com/sure-analysis-NWFL/","Norwood Financial Corp.")</f>
        <v>0</v>
      </c>
      <c r="C14" s="1" t="s">
        <v>262</v>
      </c>
      <c r="D14" s="3">
        <v>31</v>
      </c>
      <c r="E14" s="3">
        <v>31.25</v>
      </c>
      <c r="F14" s="3">
        <v>41</v>
      </c>
      <c r="G14" s="4">
        <v>0.7621951219512195</v>
      </c>
      <c r="H14" s="4">
        <v>0.04096</v>
      </c>
      <c r="I14" s="4">
        <v>0.05581242124015917</v>
      </c>
      <c r="J14" s="4">
        <v>0.05</v>
      </c>
      <c r="K14" s="4">
        <v>0.138383187866608</v>
      </c>
      <c r="L14" s="1" t="s">
        <v>267</v>
      </c>
      <c r="M14" s="5">
        <v>9.191176470588236</v>
      </c>
      <c r="N14" s="3">
        <v>3.4</v>
      </c>
      <c r="O14" s="3">
        <v>1.28</v>
      </c>
      <c r="P14" s="4">
        <v>0.3764705882352941</v>
      </c>
      <c r="Q14" s="1">
        <v>34</v>
      </c>
      <c r="R14" s="4">
        <v>0.04953161886656288</v>
      </c>
      <c r="S14" s="1" t="s">
        <v>280</v>
      </c>
      <c r="T14" s="1" t="s">
        <v>332</v>
      </c>
      <c r="U14" s="1" t="s">
        <v>336</v>
      </c>
      <c r="V14" s="1" t="s">
        <v>340</v>
      </c>
      <c r="W14" s="6" t="s">
        <v>342</v>
      </c>
      <c r="X14" s="7">
        <v>339.571995</v>
      </c>
      <c r="Y14" s="10">
        <v>46145</v>
      </c>
      <c r="Z14" s="1" t="s">
        <v>356</v>
      </c>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row>
    <row r="15" spans="1:52">
      <c r="A15" s="8" t="s">
        <v>39</v>
      </c>
      <c r="B15" s="2">
        <f>HYPERLINK("https://www.suredividend.com/sure-analysis-KMB/","Kimberly-Clark Corp.")</f>
        <v>0</v>
      </c>
      <c r="C15" s="1" t="s">
        <v>262</v>
      </c>
      <c r="D15" s="3">
        <v>98</v>
      </c>
      <c r="E15" s="3">
        <v>108.78</v>
      </c>
      <c r="F15" s="3">
        <v>139</v>
      </c>
      <c r="G15" s="4">
        <v>0.782589928057554</v>
      </c>
      <c r="H15" s="4">
        <v>0.04706747563890421</v>
      </c>
      <c r="I15" s="4">
        <v>0.05025110986258841</v>
      </c>
      <c r="J15" s="4">
        <v>0.02</v>
      </c>
      <c r="K15" s="4">
        <v>0.1077843793316309</v>
      </c>
      <c r="L15" s="1" t="s">
        <v>267</v>
      </c>
      <c r="M15" s="5">
        <v>14.44621513944223</v>
      </c>
      <c r="N15" s="3">
        <v>7.53</v>
      </c>
      <c r="O15" s="3">
        <v>5.12</v>
      </c>
      <c r="P15" s="4">
        <v>0.6799468791500664</v>
      </c>
      <c r="Q15" s="1">
        <v>54</v>
      </c>
      <c r="R15" s="4">
        <v>0.03015671264233943</v>
      </c>
      <c r="S15" s="1" t="s">
        <v>272</v>
      </c>
      <c r="T15" s="1" t="s">
        <v>332</v>
      </c>
      <c r="U15" s="1" t="s">
        <v>336</v>
      </c>
      <c r="V15" s="1" t="s">
        <v>340</v>
      </c>
      <c r="W15" s="6" t="s">
        <v>343</v>
      </c>
      <c r="X15" s="7">
        <v>35882.752592</v>
      </c>
      <c r="Y15" s="10">
        <v>46146</v>
      </c>
      <c r="Z15" s="1" t="s">
        <v>353</v>
      </c>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row>
    <row r="16" spans="1:52">
      <c r="A16" s="8" t="s">
        <v>40</v>
      </c>
      <c r="B16" s="2">
        <f>HYPERLINK("https://www.suredividend.com/sure-analysis-HRL/","Hormel Foods Corp.")</f>
        <v>0</v>
      </c>
      <c r="C16" s="1" t="s">
        <v>262</v>
      </c>
      <c r="D16" s="3">
        <v>23.62</v>
      </c>
      <c r="E16" s="3">
        <v>26.12</v>
      </c>
      <c r="F16" s="3">
        <v>29</v>
      </c>
      <c r="G16" s="4">
        <v>0.9006896551724138</v>
      </c>
      <c r="H16" s="4">
        <v>0.04479326186830015</v>
      </c>
      <c r="I16" s="4">
        <v>0.02113923911123572</v>
      </c>
      <c r="J16" s="4">
        <v>0.05</v>
      </c>
      <c r="K16" s="4">
        <v>0.1069927997788438</v>
      </c>
      <c r="L16" s="1" t="s">
        <v>267</v>
      </c>
      <c r="M16" s="5">
        <v>17.41333333333333</v>
      </c>
      <c r="N16" s="3">
        <v>1.5</v>
      </c>
      <c r="O16" s="3">
        <v>1.17</v>
      </c>
      <c r="P16" s="4">
        <v>0.7799999999999999</v>
      </c>
      <c r="Q16" s="1">
        <v>60</v>
      </c>
      <c r="R16" s="4">
        <v>0.03055365833583212</v>
      </c>
      <c r="S16" s="1" t="s">
        <v>281</v>
      </c>
      <c r="T16" s="1" t="s">
        <v>332</v>
      </c>
      <c r="U16" s="1" t="s">
        <v>336</v>
      </c>
      <c r="V16" s="1" t="s">
        <v>340</v>
      </c>
      <c r="W16" s="6" t="s">
        <v>343</v>
      </c>
      <c r="X16" s="7">
        <v>14319.195233</v>
      </c>
      <c r="Y16" s="10">
        <v>46179</v>
      </c>
      <c r="Z16" s="1" t="s">
        <v>353</v>
      </c>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row>
    <row r="17" spans="1:52">
      <c r="A17" s="8" t="s">
        <v>41</v>
      </c>
      <c r="B17" s="2">
        <f>HYPERLINK("https://www.suredividend.com/sure-analysis-SOBS/","Solvay Bank Corp.")</f>
        <v>0</v>
      </c>
      <c r="C17" s="1" t="s">
        <v>262</v>
      </c>
      <c r="D17" s="3">
        <v>34</v>
      </c>
      <c r="E17" s="3">
        <v>34</v>
      </c>
      <c r="F17" s="3">
        <v>34</v>
      </c>
      <c r="G17" s="4">
        <v>1</v>
      </c>
      <c r="H17" s="4">
        <v>0.05294117647058823</v>
      </c>
      <c r="I17" s="4">
        <v>0</v>
      </c>
      <c r="J17" s="4">
        <v>0.06</v>
      </c>
      <c r="K17" s="4">
        <v>0.1059664369885547</v>
      </c>
      <c r="L17" s="1" t="s">
        <v>267</v>
      </c>
      <c r="M17" s="5">
        <v>10</v>
      </c>
      <c r="N17" s="3">
        <v>3.4</v>
      </c>
      <c r="O17" s="3">
        <v>1.8</v>
      </c>
      <c r="P17" s="4">
        <v>0.5294117647058824</v>
      </c>
      <c r="Q17" s="1">
        <v>34</v>
      </c>
      <c r="R17" s="4">
        <v>0.06010506010596317</v>
      </c>
      <c r="T17" s="1" t="s">
        <v>332</v>
      </c>
      <c r="U17" s="1" t="s">
        <v>336</v>
      </c>
      <c r="V17" s="1" t="s">
        <v>340</v>
      </c>
      <c r="W17" s="6" t="s">
        <v>342</v>
      </c>
      <c r="Y17" s="10">
        <v>46148</v>
      </c>
      <c r="Z17" s="1" t="s">
        <v>358</v>
      </c>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row>
    <row r="18" spans="1:52">
      <c r="A18" s="8" t="s">
        <v>42</v>
      </c>
      <c r="B18" s="2">
        <f>HYPERLINK("https://www.suredividend.com/sure-analysis-TROW/","T. Rowe Price Group Inc.")</f>
        <v>0</v>
      </c>
      <c r="C18" s="1" t="s">
        <v>262</v>
      </c>
      <c r="D18" s="3">
        <v>102</v>
      </c>
      <c r="E18" s="3">
        <v>106.3</v>
      </c>
      <c r="F18" s="3">
        <v>124</v>
      </c>
      <c r="G18" s="4">
        <v>0.857258064516129</v>
      </c>
      <c r="H18" s="4">
        <v>0.04891815616180621</v>
      </c>
      <c r="I18" s="4">
        <v>0.03128258531774697</v>
      </c>
      <c r="J18" s="4">
        <v>0.03</v>
      </c>
      <c r="K18" s="4">
        <v>0.1012739219425045</v>
      </c>
      <c r="L18" s="1" t="s">
        <v>267</v>
      </c>
      <c r="M18" s="5">
        <v>11.15424973767051</v>
      </c>
      <c r="N18" s="3">
        <v>9.529999999999999</v>
      </c>
      <c r="O18" s="3">
        <v>5.2</v>
      </c>
      <c r="P18" s="4">
        <v>0.5456453305351522</v>
      </c>
      <c r="Q18" s="1">
        <v>40</v>
      </c>
      <c r="R18" s="4">
        <v>0.03006064281761112</v>
      </c>
      <c r="S18" s="1" t="s">
        <v>282</v>
      </c>
      <c r="T18" s="1" t="s">
        <v>332</v>
      </c>
      <c r="U18" s="1" t="s">
        <v>336</v>
      </c>
      <c r="V18" s="1" t="s">
        <v>340</v>
      </c>
      <c r="W18" s="6" t="s">
        <v>342</v>
      </c>
      <c r="X18" s="7">
        <v>22785.110882</v>
      </c>
      <c r="Y18" s="10">
        <v>46159</v>
      </c>
      <c r="Z18" s="1" t="s">
        <v>355</v>
      </c>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row>
    <row r="19" spans="1:52">
      <c r="A19" s="8" t="s">
        <v>43</v>
      </c>
      <c r="B19" s="2">
        <f>HYPERLINK("https://www.suredividend.com/sure-analysis-MO/","Altria Group Inc.")</f>
        <v>0</v>
      </c>
      <c r="C19" s="1" t="s">
        <v>263</v>
      </c>
      <c r="D19" s="3">
        <v>70</v>
      </c>
      <c r="E19" s="3">
        <v>73.45999999999999</v>
      </c>
      <c r="F19" s="3">
        <v>66</v>
      </c>
      <c r="G19" s="4">
        <v>1.113030303030303</v>
      </c>
      <c r="H19" s="4">
        <v>0.05771848625102097</v>
      </c>
      <c r="I19" s="4">
        <v>-0.0211895387835962</v>
      </c>
      <c r="J19" s="4">
        <v>0.035</v>
      </c>
      <c r="K19" s="4">
        <v>0.06770662423726304</v>
      </c>
      <c r="L19" s="1" t="s">
        <v>267</v>
      </c>
      <c r="M19" s="5">
        <v>12.88771929824561</v>
      </c>
      <c r="N19" s="3">
        <v>5.7</v>
      </c>
      <c r="O19" s="3">
        <v>4.24</v>
      </c>
      <c r="P19" s="4">
        <v>0.743859649122807</v>
      </c>
      <c r="Q19" s="1">
        <v>56</v>
      </c>
      <c r="R19" s="4">
        <v>0.03517300006217261</v>
      </c>
      <c r="S19" s="1" t="s">
        <v>282</v>
      </c>
      <c r="T19" s="1" t="s">
        <v>332</v>
      </c>
      <c r="U19" s="1" t="s">
        <v>336</v>
      </c>
      <c r="V19" s="1" t="s">
        <v>340</v>
      </c>
      <c r="W19" s="6" t="s">
        <v>343</v>
      </c>
      <c r="X19" s="7">
        <v>122252.737314</v>
      </c>
      <c r="Y19" s="10">
        <v>46173</v>
      </c>
      <c r="Z19" s="1" t="s">
        <v>357</v>
      </c>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row>
    <row r="20" spans="1:52">
      <c r="A20" s="8" t="s">
        <v>44</v>
      </c>
      <c r="B20" s="2">
        <f>HYPERLINK("https://www.suredividend.com/sure-analysis-BEN/","Franklin Resources, Inc.")</f>
        <v>0</v>
      </c>
      <c r="C20" s="1" t="s">
        <v>263</v>
      </c>
      <c r="D20" s="3">
        <v>30</v>
      </c>
      <c r="E20" s="3">
        <v>32.65</v>
      </c>
      <c r="F20" s="3">
        <v>26</v>
      </c>
      <c r="G20" s="4">
        <v>1.255769230769231</v>
      </c>
      <c r="H20" s="4">
        <v>0.04042879019908117</v>
      </c>
      <c r="I20" s="4">
        <v>-0.0445278507358724</v>
      </c>
      <c r="J20" s="4">
        <v>0.05</v>
      </c>
      <c r="K20" s="4">
        <v>0.04352203054670345</v>
      </c>
      <c r="L20" s="1" t="s">
        <v>267</v>
      </c>
      <c r="M20" s="5">
        <v>11.95970695970696</v>
      </c>
      <c r="N20" s="3">
        <v>2.73</v>
      </c>
      <c r="O20" s="3">
        <v>1.32</v>
      </c>
      <c r="P20" s="4">
        <v>0.4835164835164835</v>
      </c>
      <c r="Q20" s="1">
        <v>46</v>
      </c>
      <c r="R20" s="4">
        <v>0.02996744995959233</v>
      </c>
      <c r="S20" s="1" t="s">
        <v>283</v>
      </c>
      <c r="T20" s="1" t="s">
        <v>332</v>
      </c>
      <c r="U20" s="1" t="s">
        <v>336</v>
      </c>
      <c r="V20" s="1" t="s">
        <v>340</v>
      </c>
      <c r="W20" s="6" t="s">
        <v>342</v>
      </c>
      <c r="X20" s="7">
        <v>16966.153339</v>
      </c>
      <c r="Y20" s="10">
        <v>46147</v>
      </c>
      <c r="Z20" s="1" t="s">
        <v>354</v>
      </c>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row>
    <row r="21" spans="1:52">
      <c r="A21" s="8" t="s">
        <v>45</v>
      </c>
      <c r="B21" s="2">
        <f>HYPERLINK("https://www.suredividend.com/sure-analysis-ACN/","Accenture plc")</f>
        <v>0</v>
      </c>
      <c r="C21" s="1" t="s">
        <v>263</v>
      </c>
      <c r="D21" s="3">
        <v>195</v>
      </c>
      <c r="E21" s="3">
        <v>126.65</v>
      </c>
      <c r="F21" s="3">
        <v>248</v>
      </c>
      <c r="G21" s="4">
        <v>0.5106854838709678</v>
      </c>
      <c r="H21" s="4">
        <v>0.05148045795499407</v>
      </c>
      <c r="I21" s="4">
        <v>0.1438505816064704</v>
      </c>
      <c r="J21" s="4">
        <v>0.05</v>
      </c>
      <c r="K21" s="4">
        <v>0.2300455740585547</v>
      </c>
      <c r="L21" s="1" t="s">
        <v>268</v>
      </c>
      <c r="M21" s="5">
        <v>9.190856313497823</v>
      </c>
      <c r="N21" s="3">
        <v>13.78</v>
      </c>
      <c r="O21" s="3">
        <v>6.52</v>
      </c>
      <c r="P21" s="4">
        <v>0.4731494920174165</v>
      </c>
      <c r="Q21" s="1">
        <v>15</v>
      </c>
      <c r="R21" s="4">
        <v>0.06989145767761862</v>
      </c>
      <c r="S21" s="1" t="s">
        <v>284</v>
      </c>
      <c r="T21" s="1" t="s">
        <v>332</v>
      </c>
      <c r="U21" s="1" t="s">
        <v>336</v>
      </c>
      <c r="V21" s="1" t="s">
        <v>341</v>
      </c>
      <c r="W21" s="6" t="s">
        <v>344</v>
      </c>
      <c r="X21" s="7">
        <v>84023.965299</v>
      </c>
      <c r="Y21" s="10">
        <v>46127</v>
      </c>
      <c r="Z21" s="1" t="s">
        <v>361</v>
      </c>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row>
    <row r="22" spans="1:52">
      <c r="A22" s="8" t="s">
        <v>46</v>
      </c>
      <c r="B22" s="2">
        <f>HYPERLINK("https://www.suredividend.com/sure-analysis-NKE/","Nike, Inc.")</f>
        <v>0</v>
      </c>
      <c r="C22" s="1" t="s">
        <v>263</v>
      </c>
      <c r="D22" s="3">
        <v>48</v>
      </c>
      <c r="E22" s="3">
        <v>40.48</v>
      </c>
      <c r="F22" s="3">
        <v>41</v>
      </c>
      <c r="G22" s="4">
        <v>0.9873170731707316</v>
      </c>
      <c r="H22" s="4">
        <v>0.04051383399209486</v>
      </c>
      <c r="I22" s="4">
        <v>0.002556069534716432</v>
      </c>
      <c r="J22" s="4">
        <v>0.17</v>
      </c>
      <c r="K22" s="4">
        <v>0.1986114893043229</v>
      </c>
      <c r="L22" s="1" t="s">
        <v>268</v>
      </c>
      <c r="M22" s="5">
        <v>23.81176470588235</v>
      </c>
      <c r="N22" s="3">
        <v>1.7</v>
      </c>
      <c r="O22" s="3">
        <v>1.64</v>
      </c>
      <c r="P22" s="4">
        <v>0.9647058823529412</v>
      </c>
      <c r="Q22" s="1">
        <v>24</v>
      </c>
      <c r="R22" s="4">
        <v>0.07550796487558231</v>
      </c>
      <c r="S22" s="1" t="s">
        <v>285</v>
      </c>
      <c r="T22" s="1" t="s">
        <v>332</v>
      </c>
      <c r="U22" s="1" t="s">
        <v>336</v>
      </c>
      <c r="V22" s="1" t="s">
        <v>340</v>
      </c>
      <c r="W22" s="6" t="s">
        <v>345</v>
      </c>
      <c r="X22" s="7">
        <v>63418.026005</v>
      </c>
      <c r="Y22" s="10">
        <v>46113</v>
      </c>
      <c r="Z22" s="1" t="s">
        <v>362</v>
      </c>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row>
    <row r="23" spans="1:52">
      <c r="A23" s="8" t="s">
        <v>47</v>
      </c>
      <c r="B23" s="2">
        <f>HYPERLINK("https://www.suredividend.com/sure-analysis-OTEX/","Open Text Corp")</f>
        <v>0</v>
      </c>
      <c r="C23" s="1" t="s">
        <v>263</v>
      </c>
      <c r="D23" s="3">
        <v>24</v>
      </c>
      <c r="E23" s="3">
        <v>21.35</v>
      </c>
      <c r="F23" s="3">
        <v>36</v>
      </c>
      <c r="G23" s="4">
        <v>0.5930555555555556</v>
      </c>
      <c r="H23" s="4">
        <v>0.05152224824355972</v>
      </c>
      <c r="I23" s="4">
        <v>0.1101481110001716</v>
      </c>
      <c r="J23" s="4">
        <v>0.05</v>
      </c>
      <c r="K23" s="4">
        <v>0.1963255159159605</v>
      </c>
      <c r="L23" s="1" t="s">
        <v>268</v>
      </c>
      <c r="M23" s="5">
        <v>5.071258907363421</v>
      </c>
      <c r="N23" s="3">
        <v>4.21</v>
      </c>
      <c r="O23" s="3">
        <v>1.1</v>
      </c>
      <c r="P23" s="4">
        <v>0.2612826603325416</v>
      </c>
      <c r="Q23" s="1">
        <v>12</v>
      </c>
      <c r="R23" s="4">
        <v>0.04941452284458392</v>
      </c>
      <c r="S23" s="1" t="s">
        <v>272</v>
      </c>
      <c r="T23" s="1" t="s">
        <v>332</v>
      </c>
      <c r="U23" s="1" t="s">
        <v>336</v>
      </c>
      <c r="V23" s="1" t="s">
        <v>341</v>
      </c>
      <c r="W23" s="6" t="s">
        <v>344</v>
      </c>
      <c r="X23" s="7">
        <v>5185.694633</v>
      </c>
      <c r="Y23" s="10">
        <v>46154</v>
      </c>
      <c r="Z23" s="1" t="s">
        <v>360</v>
      </c>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row>
    <row r="24" spans="1:52">
      <c r="A24" s="8" t="s">
        <v>48</v>
      </c>
      <c r="B24" s="2">
        <f>HYPERLINK("https://www.suredividend.com/sure-analysis-FNF/","Fidelity National Financial Inc")</f>
        <v>0</v>
      </c>
      <c r="C24" s="1" t="s">
        <v>263</v>
      </c>
      <c r="D24" s="3">
        <v>48</v>
      </c>
      <c r="E24" s="3">
        <v>46.11</v>
      </c>
      <c r="F24" s="3">
        <v>53</v>
      </c>
      <c r="G24" s="4">
        <v>0.87</v>
      </c>
      <c r="H24" s="4">
        <v>0.04510952071134244</v>
      </c>
      <c r="I24" s="4">
        <v>0.02824391826709793</v>
      </c>
      <c r="J24" s="4">
        <v>0.11</v>
      </c>
      <c r="K24" s="4">
        <v>0.1706223104607336</v>
      </c>
      <c r="L24" s="1" t="s">
        <v>268</v>
      </c>
      <c r="M24" s="5">
        <v>8.651031894934334</v>
      </c>
      <c r="N24" s="3">
        <v>5.33</v>
      </c>
      <c r="O24" s="3">
        <v>2.08</v>
      </c>
      <c r="P24" s="4">
        <v>0.3902439024390244</v>
      </c>
      <c r="Q24" s="1">
        <v>14</v>
      </c>
      <c r="R24" s="4">
        <v>0.04963065931551602</v>
      </c>
      <c r="S24" s="1" t="s">
        <v>286</v>
      </c>
      <c r="T24" s="1" t="s">
        <v>332</v>
      </c>
      <c r="U24" s="1" t="s">
        <v>336</v>
      </c>
      <c r="V24" s="1" t="s">
        <v>340</v>
      </c>
      <c r="W24" s="6" t="s">
        <v>342</v>
      </c>
      <c r="X24" s="7">
        <v>12410.854169</v>
      </c>
      <c r="Y24" s="10">
        <v>46163</v>
      </c>
      <c r="Z24" s="1" t="s">
        <v>354</v>
      </c>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row>
    <row r="25" spans="1:52">
      <c r="A25" s="8" t="s">
        <v>49</v>
      </c>
      <c r="B25" s="2">
        <f>HYPERLINK("https://www.suredividend.com/sure-analysis-PRGO/","Perrigo Company plc")</f>
        <v>0</v>
      </c>
      <c r="C25" s="1" t="s">
        <v>263</v>
      </c>
      <c r="D25" s="3">
        <v>11.16</v>
      </c>
      <c r="E25" s="3">
        <v>9.76</v>
      </c>
      <c r="F25" s="3">
        <v>13</v>
      </c>
      <c r="G25" s="4">
        <v>0.7507692307692307</v>
      </c>
      <c r="H25" s="4">
        <v>0.1188524590163934</v>
      </c>
      <c r="I25" s="4">
        <v>0.05900669797171365</v>
      </c>
      <c r="J25" s="4">
        <v>0.03</v>
      </c>
      <c r="K25" s="4">
        <v>0.1700206444169268</v>
      </c>
      <c r="L25" s="1" t="s">
        <v>268</v>
      </c>
      <c r="M25" s="5">
        <v>4.53953488372093</v>
      </c>
      <c r="N25" s="3">
        <v>2.15</v>
      </c>
      <c r="O25" s="3">
        <v>1.16</v>
      </c>
      <c r="P25" s="4">
        <v>0.5395348837209302</v>
      </c>
      <c r="Q25" s="1">
        <v>23</v>
      </c>
      <c r="R25" s="4">
        <v>0.02927011184548056</v>
      </c>
      <c r="S25" s="1" t="s">
        <v>287</v>
      </c>
      <c r="T25" s="1" t="s">
        <v>332</v>
      </c>
      <c r="U25" s="1" t="s">
        <v>336</v>
      </c>
      <c r="V25" s="1" t="s">
        <v>341</v>
      </c>
      <c r="W25" s="6" t="s">
        <v>348</v>
      </c>
      <c r="X25" s="7">
        <v>1303.312741</v>
      </c>
      <c r="Y25" s="10">
        <v>46169</v>
      </c>
      <c r="Z25" s="1" t="s">
        <v>355</v>
      </c>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row>
    <row r="26" spans="1:52">
      <c r="A26" s="8" t="s">
        <v>50</v>
      </c>
      <c r="B26" s="2">
        <f>HYPERLINK("https://www.suredividend.com/sure-analysis-PNGAY/","Ping AN Insurance (Group) Co. of China, Ltd.")</f>
        <v>0</v>
      </c>
      <c r="C26" s="1" t="s">
        <v>263</v>
      </c>
      <c r="D26" s="3">
        <v>15.54</v>
      </c>
      <c r="E26" s="3">
        <v>13.26</v>
      </c>
      <c r="F26" s="3">
        <v>18</v>
      </c>
      <c r="G26" s="4">
        <v>0.7366666666666667</v>
      </c>
      <c r="H26" s="4">
        <v>0.06334841628959276</v>
      </c>
      <c r="I26" s="4">
        <v>0.0630306735923003</v>
      </c>
      <c r="J26" s="4">
        <v>0.04</v>
      </c>
      <c r="K26" s="4">
        <v>0.1496132747217243</v>
      </c>
      <c r="L26" s="1" t="s">
        <v>268</v>
      </c>
      <c r="M26" s="5">
        <v>5.525</v>
      </c>
      <c r="N26" s="3">
        <v>2.4</v>
      </c>
      <c r="O26" s="3">
        <v>0.84</v>
      </c>
      <c r="P26" s="4">
        <v>0.35</v>
      </c>
      <c r="Q26" s="1">
        <v>15</v>
      </c>
      <c r="R26" s="4">
        <v>0.03959498820755258</v>
      </c>
      <c r="S26" s="1" t="s">
        <v>277</v>
      </c>
      <c r="T26" s="1" t="s">
        <v>334</v>
      </c>
      <c r="U26" s="1" t="s">
        <v>336</v>
      </c>
      <c r="V26" s="1" t="s">
        <v>341</v>
      </c>
      <c r="W26" s="6" t="s">
        <v>342</v>
      </c>
      <c r="Y26" s="10">
        <v>46169</v>
      </c>
      <c r="Z26" s="1" t="s">
        <v>358</v>
      </c>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row>
    <row r="27" spans="1:52">
      <c r="A27" s="8" t="s">
        <v>51</v>
      </c>
      <c r="B27" s="2">
        <f>HYPERLINK("https://www.suredividend.com/sure-analysis-AES/","AES Corp.")</f>
        <v>0</v>
      </c>
      <c r="C27" s="1" t="s">
        <v>263</v>
      </c>
      <c r="D27" s="3">
        <v>15</v>
      </c>
      <c r="E27" s="3">
        <v>14.65</v>
      </c>
      <c r="F27" s="3">
        <v>19</v>
      </c>
      <c r="G27" s="4">
        <v>0.7710526315789474</v>
      </c>
      <c r="H27" s="4">
        <v>0.0477815699658703</v>
      </c>
      <c r="I27" s="4">
        <v>0.05337545677540834</v>
      </c>
      <c r="J27" s="4">
        <v>0.06</v>
      </c>
      <c r="K27" s="4">
        <v>0.1485312512693382</v>
      </c>
      <c r="L27" s="1" t="s">
        <v>268</v>
      </c>
      <c r="M27" s="5">
        <v>7.252475247524752</v>
      </c>
      <c r="N27" s="3">
        <v>2.02</v>
      </c>
      <c r="O27" s="3">
        <v>0.7</v>
      </c>
      <c r="P27" s="4">
        <v>0.3465346534653465</v>
      </c>
      <c r="Q27" s="1">
        <v>12</v>
      </c>
      <c r="R27" s="4">
        <v>0.03215082129087299</v>
      </c>
      <c r="S27" s="1" t="s">
        <v>288</v>
      </c>
      <c r="T27" s="1" t="s">
        <v>332</v>
      </c>
      <c r="U27" s="1" t="s">
        <v>336</v>
      </c>
      <c r="V27" s="1" t="s">
        <v>340</v>
      </c>
      <c r="W27" s="6" t="s">
        <v>349</v>
      </c>
      <c r="X27" s="7">
        <v>10454.892073</v>
      </c>
      <c r="Y27" s="10">
        <v>46163</v>
      </c>
      <c r="Z27" s="1" t="s">
        <v>354</v>
      </c>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row>
    <row r="28" spans="1:52">
      <c r="A28" s="8" t="s">
        <v>52</v>
      </c>
      <c r="B28" s="2">
        <f>HYPERLINK("https://www.suredividend.com/sure-analysis-BIP/","Brookfield Infrastructure Partners L.P")</f>
        <v>0</v>
      </c>
      <c r="C28" s="1" t="s">
        <v>263</v>
      </c>
      <c r="D28" s="3">
        <v>37</v>
      </c>
      <c r="E28" s="3">
        <v>36.4</v>
      </c>
      <c r="F28" s="3">
        <v>41</v>
      </c>
      <c r="G28" s="4">
        <v>0.8878048780487805</v>
      </c>
      <c r="H28" s="4">
        <v>0.05</v>
      </c>
      <c r="I28" s="4">
        <v>0.02408615458220575</v>
      </c>
      <c r="J28" s="4">
        <v>0.07000000000000001</v>
      </c>
      <c r="K28" s="4">
        <v>0.1341607221561238</v>
      </c>
      <c r="L28" s="1" t="s">
        <v>268</v>
      </c>
      <c r="M28" s="5">
        <v>10.25352112676056</v>
      </c>
      <c r="N28" s="3">
        <v>3.55</v>
      </c>
      <c r="O28" s="3">
        <v>1.82</v>
      </c>
      <c r="P28" s="4">
        <v>0.5126760563380283</v>
      </c>
      <c r="Q28" s="1">
        <v>16</v>
      </c>
      <c r="R28" s="4">
        <v>0.05776484950185368</v>
      </c>
      <c r="S28" s="1" t="s">
        <v>287</v>
      </c>
      <c r="T28" s="1" t="s">
        <v>332</v>
      </c>
      <c r="U28" s="1" t="s">
        <v>337</v>
      </c>
      <c r="V28" s="1" t="s">
        <v>341</v>
      </c>
      <c r="W28" s="6" t="s">
        <v>349</v>
      </c>
      <c r="X28" s="7">
        <v>19642.761453</v>
      </c>
      <c r="Y28" s="10">
        <v>46151</v>
      </c>
      <c r="Z28" s="1" t="s">
        <v>360</v>
      </c>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row>
    <row r="29" spans="1:52">
      <c r="A29" s="8" t="s">
        <v>53</v>
      </c>
      <c r="B29" s="2">
        <f>HYPERLINK("https://www.suredividend.com/sure-analysis-POR/","Portland General Electric Co")</f>
        <v>0</v>
      </c>
      <c r="C29" s="1" t="s">
        <v>263</v>
      </c>
      <c r="D29" s="3">
        <v>49</v>
      </c>
      <c r="E29" s="3">
        <v>51.57</v>
      </c>
      <c r="F29" s="3">
        <v>62</v>
      </c>
      <c r="G29" s="4">
        <v>0.8317741935483871</v>
      </c>
      <c r="H29" s="4">
        <v>0.04285437269730463</v>
      </c>
      <c r="I29" s="4">
        <v>0.03752581568016833</v>
      </c>
      <c r="J29" s="4">
        <v>0.05</v>
      </c>
      <c r="K29" s="4">
        <v>0.123502838238633</v>
      </c>
      <c r="L29" s="1" t="s">
        <v>268</v>
      </c>
      <c r="M29" s="5">
        <v>15.03498542274052</v>
      </c>
      <c r="N29" s="3">
        <v>3.43</v>
      </c>
      <c r="O29" s="3">
        <v>2.21</v>
      </c>
      <c r="P29" s="4">
        <v>0.6443148688046647</v>
      </c>
      <c r="Q29" s="1">
        <v>20</v>
      </c>
      <c r="R29" s="4">
        <v>0.05946337608937635</v>
      </c>
      <c r="S29" s="1" t="s">
        <v>289</v>
      </c>
      <c r="T29" s="1" t="s">
        <v>332</v>
      </c>
      <c r="U29" s="1" t="s">
        <v>336</v>
      </c>
      <c r="V29" s="1" t="s">
        <v>340</v>
      </c>
      <c r="W29" s="6" t="s">
        <v>349</v>
      </c>
      <c r="X29" s="7">
        <v>5971.668568</v>
      </c>
      <c r="Y29" s="10">
        <v>46147</v>
      </c>
      <c r="Z29" s="1" t="s">
        <v>354</v>
      </c>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row>
    <row r="30" spans="1:52">
      <c r="A30" s="8" t="s">
        <v>54</v>
      </c>
      <c r="B30" s="2">
        <f>HYPERLINK("https://www.suredividend.com/sure-analysis-KOF/","Coca-Cola FEMSA, S.A.B. de C.V.")</f>
        <v>0</v>
      </c>
      <c r="C30" s="1" t="s">
        <v>263</v>
      </c>
      <c r="D30" s="3">
        <v>102</v>
      </c>
      <c r="E30" s="3">
        <v>105.8</v>
      </c>
      <c r="F30" s="3">
        <v>112</v>
      </c>
      <c r="G30" s="4">
        <v>0.9446428571428571</v>
      </c>
      <c r="H30" s="4">
        <v>0.04111531190926276</v>
      </c>
      <c r="I30" s="4">
        <v>0.01145477962597075</v>
      </c>
      <c r="J30" s="4">
        <v>0.075</v>
      </c>
      <c r="K30" s="4">
        <v>0.1217754704067811</v>
      </c>
      <c r="L30" s="1" t="s">
        <v>268</v>
      </c>
      <c r="M30" s="5">
        <v>15.11428571428571</v>
      </c>
      <c r="N30" s="3">
        <v>7</v>
      </c>
      <c r="O30" s="3">
        <v>4.35</v>
      </c>
      <c r="P30" s="4">
        <v>0.6214285714285713</v>
      </c>
      <c r="Q30" s="1">
        <v>7</v>
      </c>
      <c r="R30" s="4">
        <v>0.07482823504114289</v>
      </c>
      <c r="S30" s="1" t="s">
        <v>290</v>
      </c>
      <c r="T30" s="1" t="s">
        <v>332</v>
      </c>
      <c r="U30" s="1" t="s">
        <v>336</v>
      </c>
      <c r="V30" s="1" t="s">
        <v>341</v>
      </c>
      <c r="W30" s="6" t="s">
        <v>343</v>
      </c>
      <c r="X30" s="7">
        <v>5566.680281</v>
      </c>
      <c r="Y30" s="10">
        <v>46147</v>
      </c>
      <c r="Z30" s="1" t="s">
        <v>357</v>
      </c>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row>
    <row r="31" spans="1:52">
      <c r="A31" s="8" t="s">
        <v>55</v>
      </c>
      <c r="B31" s="2">
        <f>HYPERLINK("https://www.suredividend.com/sure-analysis-CLX/","Clorox Co.")</f>
        <v>0</v>
      </c>
      <c r="C31" s="1" t="s">
        <v>263</v>
      </c>
      <c r="D31" s="3">
        <v>92</v>
      </c>
      <c r="E31" s="3">
        <v>95.59999999999999</v>
      </c>
      <c r="F31" s="3">
        <v>111</v>
      </c>
      <c r="G31" s="4">
        <v>0.8612612612612612</v>
      </c>
      <c r="H31" s="4">
        <v>0.05188284518828452</v>
      </c>
      <c r="I31" s="4">
        <v>0.03032210458397655</v>
      </c>
      <c r="J31" s="4">
        <v>0.05</v>
      </c>
      <c r="K31" s="4">
        <v>0.1204127866957447</v>
      </c>
      <c r="L31" s="1" t="s">
        <v>268</v>
      </c>
      <c r="M31" s="5">
        <v>17.22522522522522</v>
      </c>
      <c r="N31" s="3">
        <v>5.55</v>
      </c>
      <c r="O31" s="3">
        <v>4.96</v>
      </c>
      <c r="P31" s="4">
        <v>0.8936936936936937</v>
      </c>
      <c r="Q31" s="1">
        <v>48</v>
      </c>
      <c r="R31" s="4">
        <v>0.03000002119012857</v>
      </c>
      <c r="S31" s="1" t="s">
        <v>291</v>
      </c>
      <c r="T31" s="1" t="s">
        <v>332</v>
      </c>
      <c r="U31" s="1" t="s">
        <v>336</v>
      </c>
      <c r="V31" s="1" t="s">
        <v>340</v>
      </c>
      <c r="W31" s="6" t="s">
        <v>343</v>
      </c>
      <c r="X31" s="7">
        <v>11520.17711</v>
      </c>
      <c r="Y31" s="10">
        <v>46154</v>
      </c>
      <c r="Z31" s="1" t="s">
        <v>353</v>
      </c>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row>
    <row r="32" spans="1:52">
      <c r="A32" s="8" t="s">
        <v>56</v>
      </c>
      <c r="B32" s="2">
        <f>HYPERLINK("https://www.suredividend.com/sure-analysis-DGICA/","Donegal Group Inc.")</f>
        <v>0</v>
      </c>
      <c r="C32" s="1" t="s">
        <v>263</v>
      </c>
      <c r="D32" s="3">
        <v>17.3</v>
      </c>
      <c r="E32" s="3">
        <v>18.04</v>
      </c>
      <c r="F32" s="3">
        <v>23.63</v>
      </c>
      <c r="G32" s="4">
        <v>0.7634363097757089</v>
      </c>
      <c r="H32" s="4">
        <v>0.0426829268292683</v>
      </c>
      <c r="I32" s="4">
        <v>0.05546889171392677</v>
      </c>
      <c r="J32" s="4">
        <v>0.03</v>
      </c>
      <c r="K32" s="4">
        <v>0.1186160092214565</v>
      </c>
      <c r="L32" s="1" t="s">
        <v>268</v>
      </c>
      <c r="M32" s="5">
        <v>10.30857142857143</v>
      </c>
      <c r="N32" s="3">
        <v>1.75</v>
      </c>
      <c r="O32" s="3">
        <v>0.77</v>
      </c>
      <c r="P32" s="4">
        <v>0.44</v>
      </c>
      <c r="Q32" s="1">
        <v>24</v>
      </c>
      <c r="R32" s="4">
        <v>0.02938978978118167</v>
      </c>
      <c r="S32" s="1" t="s">
        <v>288</v>
      </c>
      <c r="T32" s="1" t="s">
        <v>332</v>
      </c>
      <c r="U32" s="1" t="s">
        <v>336</v>
      </c>
      <c r="V32" s="1" t="s">
        <v>340</v>
      </c>
      <c r="W32" s="6" t="s">
        <v>342</v>
      </c>
      <c r="X32" s="7">
        <v>668.745334</v>
      </c>
      <c r="Y32" s="10">
        <v>46162</v>
      </c>
      <c r="Z32" s="1" t="s">
        <v>363</v>
      </c>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row>
    <row r="33" spans="1:52">
      <c r="A33" s="8" t="s">
        <v>57</v>
      </c>
      <c r="B33" s="2">
        <f>HYPERLINK("https://www.suredividend.com/sure-analysis-ES/","Eversource Energy")</f>
        <v>0</v>
      </c>
      <c r="C33" s="1" t="s">
        <v>263</v>
      </c>
      <c r="D33" s="3">
        <v>67</v>
      </c>
      <c r="E33" s="3">
        <v>72.06</v>
      </c>
      <c r="F33" s="3">
        <v>79</v>
      </c>
      <c r="G33" s="4">
        <v>0.9121518987341772</v>
      </c>
      <c r="H33" s="4">
        <v>0.04371357202331391</v>
      </c>
      <c r="I33" s="4">
        <v>0.01855988217076954</v>
      </c>
      <c r="J33" s="4">
        <v>0.06</v>
      </c>
      <c r="K33" s="4">
        <v>0.1151632685021577</v>
      </c>
      <c r="L33" s="1" t="s">
        <v>268</v>
      </c>
      <c r="M33" s="5">
        <v>15.49677419354839</v>
      </c>
      <c r="N33" s="3">
        <v>4.65</v>
      </c>
      <c r="O33" s="3">
        <v>3.15</v>
      </c>
      <c r="P33" s="4">
        <v>0.6774193548387096</v>
      </c>
      <c r="Q33" s="1">
        <v>28</v>
      </c>
      <c r="R33" s="4">
        <v>0.05515760258213387</v>
      </c>
      <c r="S33" s="1" t="s">
        <v>292</v>
      </c>
      <c r="T33" s="1" t="s">
        <v>332</v>
      </c>
      <c r="U33" s="1" t="s">
        <v>336</v>
      </c>
      <c r="V33" s="1" t="s">
        <v>340</v>
      </c>
      <c r="W33" s="6" t="s">
        <v>349</v>
      </c>
      <c r="X33" s="7">
        <v>27542.90189</v>
      </c>
      <c r="Y33" s="10">
        <v>46159</v>
      </c>
      <c r="Z33" s="1" t="s">
        <v>357</v>
      </c>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row>
    <row r="34" spans="1:52">
      <c r="A34" s="8" t="s">
        <v>58</v>
      </c>
      <c r="B34" s="2">
        <f>HYPERLINK("https://www.suredividend.com/sure-analysis-EIX/","Edison International")</f>
        <v>0</v>
      </c>
      <c r="C34" s="1" t="s">
        <v>263</v>
      </c>
      <c r="D34" s="3">
        <v>69</v>
      </c>
      <c r="E34" s="3">
        <v>74.53</v>
      </c>
      <c r="F34" s="3">
        <v>80</v>
      </c>
      <c r="G34" s="4">
        <v>0.931625</v>
      </c>
      <c r="H34" s="4">
        <v>0.04709512947806252</v>
      </c>
      <c r="I34" s="4">
        <v>0.01426577987662392</v>
      </c>
      <c r="J34" s="4">
        <v>0.06</v>
      </c>
      <c r="K34" s="4">
        <v>0.114300751781383</v>
      </c>
      <c r="L34" s="1" t="s">
        <v>268</v>
      </c>
      <c r="M34" s="5">
        <v>12.11869918699187</v>
      </c>
      <c r="N34" s="3">
        <v>6.15</v>
      </c>
      <c r="O34" s="3">
        <v>3.51</v>
      </c>
      <c r="P34" s="4">
        <v>0.5707317073170731</v>
      </c>
      <c r="Q34" s="1">
        <v>23</v>
      </c>
      <c r="R34" s="4">
        <v>0.06012761697259439</v>
      </c>
      <c r="S34" s="1" t="s">
        <v>293</v>
      </c>
      <c r="T34" s="1" t="s">
        <v>332</v>
      </c>
      <c r="U34" s="1" t="s">
        <v>336</v>
      </c>
      <c r="V34" s="1" t="s">
        <v>340</v>
      </c>
      <c r="W34" s="6" t="s">
        <v>349</v>
      </c>
      <c r="X34" s="7">
        <v>28928.25</v>
      </c>
      <c r="Y34" s="10">
        <v>46152</v>
      </c>
      <c r="Z34" s="1" t="s">
        <v>357</v>
      </c>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row>
    <row r="35" spans="1:52">
      <c r="A35" s="8" t="s">
        <v>59</v>
      </c>
      <c r="B35" s="2">
        <f>HYPERLINK("https://www.suredividend.com/sure-analysis-BMY/","Bristol-Myers Squibb Co.")</f>
        <v>0</v>
      </c>
      <c r="C35" s="1" t="s">
        <v>263</v>
      </c>
      <c r="D35" s="3">
        <v>58</v>
      </c>
      <c r="E35" s="3">
        <v>55.47</v>
      </c>
      <c r="F35" s="3">
        <v>68</v>
      </c>
      <c r="G35" s="4">
        <v>0.815735294117647</v>
      </c>
      <c r="H35" s="4">
        <v>0.04542996214169822</v>
      </c>
      <c r="I35" s="4">
        <v>0.04157404547378141</v>
      </c>
      <c r="J35" s="4">
        <v>0.03</v>
      </c>
      <c r="K35" s="4">
        <v>0.1099807570239204</v>
      </c>
      <c r="L35" s="1" t="s">
        <v>268</v>
      </c>
      <c r="M35" s="5">
        <v>8.946774193548388</v>
      </c>
      <c r="N35" s="3">
        <v>6.2</v>
      </c>
      <c r="O35" s="3">
        <v>2.52</v>
      </c>
      <c r="P35" s="4">
        <v>0.4064516129032258</v>
      </c>
      <c r="Q35" s="1">
        <v>19</v>
      </c>
      <c r="R35" s="4">
        <v>0.05024607263868264</v>
      </c>
      <c r="S35" s="1" t="s">
        <v>294</v>
      </c>
      <c r="T35" s="1" t="s">
        <v>332</v>
      </c>
      <c r="U35" s="1" t="s">
        <v>336</v>
      </c>
      <c r="V35" s="1" t="s">
        <v>340</v>
      </c>
      <c r="W35" s="6" t="s">
        <v>348</v>
      </c>
      <c r="X35" s="7">
        <v>113110.326371</v>
      </c>
      <c r="Y35" s="10">
        <v>46162</v>
      </c>
      <c r="Z35" s="1" t="s">
        <v>355</v>
      </c>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row>
    <row r="36" spans="1:52">
      <c r="A36" s="8" t="s">
        <v>60</v>
      </c>
      <c r="B36" s="2">
        <f>HYPERLINK("https://www.suredividend.com/sure-analysis-O/","Realty Income Corp.")</f>
        <v>0</v>
      </c>
      <c r="C36" s="1" t="s">
        <v>263</v>
      </c>
      <c r="D36" s="3">
        <v>62</v>
      </c>
      <c r="E36" s="3">
        <v>62.28</v>
      </c>
      <c r="F36" s="3">
        <v>71</v>
      </c>
      <c r="G36" s="4">
        <v>0.8771830985915493</v>
      </c>
      <c r="H36" s="4">
        <v>0.05218368657675016</v>
      </c>
      <c r="I36" s="4">
        <v>0.02655435311346221</v>
      </c>
      <c r="J36" s="4">
        <v>0.035</v>
      </c>
      <c r="K36" s="4">
        <v>0.103925000701762</v>
      </c>
      <c r="L36" s="1" t="s">
        <v>268</v>
      </c>
      <c r="M36" s="5">
        <v>14.12244897959184</v>
      </c>
      <c r="N36" s="3">
        <v>4.41</v>
      </c>
      <c r="O36" s="3">
        <v>3.25</v>
      </c>
      <c r="P36" s="4">
        <v>0.7369614512471655</v>
      </c>
      <c r="Q36" s="1">
        <v>32</v>
      </c>
      <c r="R36" s="4">
        <v>0.03012896281839894</v>
      </c>
      <c r="S36" s="1" t="s">
        <v>287</v>
      </c>
      <c r="T36" s="1" t="s">
        <v>335</v>
      </c>
      <c r="U36" s="1" t="s">
        <v>338</v>
      </c>
      <c r="V36" s="1" t="s">
        <v>340</v>
      </c>
      <c r="W36" s="6" t="s">
        <v>350</v>
      </c>
      <c r="X36" s="7">
        <v>57851.836561</v>
      </c>
      <c r="Y36" s="10">
        <v>46152</v>
      </c>
      <c r="Z36" s="1" t="s">
        <v>357</v>
      </c>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row>
    <row r="37" spans="1:52">
      <c r="A37" s="8" t="s">
        <v>61</v>
      </c>
      <c r="B37" s="2">
        <f>HYPERLINK("https://www.suredividend.com/sure-analysis-HPQ/","HP Inc")</f>
        <v>0</v>
      </c>
      <c r="C37" s="1" t="s">
        <v>263</v>
      </c>
      <c r="D37" s="3">
        <v>19</v>
      </c>
      <c r="E37" s="3">
        <v>22.8</v>
      </c>
      <c r="F37" s="3">
        <v>26</v>
      </c>
      <c r="G37" s="4">
        <v>0.8769230769230769</v>
      </c>
      <c r="H37" s="4">
        <v>0.05263157894736842</v>
      </c>
      <c r="I37" s="4">
        <v>0.02661522383956338</v>
      </c>
      <c r="J37" s="4">
        <v>0.03</v>
      </c>
      <c r="K37" s="4">
        <v>0.1010829914658664</v>
      </c>
      <c r="L37" s="1" t="s">
        <v>268</v>
      </c>
      <c r="M37" s="5">
        <v>7.475409836065574</v>
      </c>
      <c r="N37" s="3">
        <v>3.05</v>
      </c>
      <c r="O37" s="3">
        <v>1.2</v>
      </c>
      <c r="P37" s="4">
        <v>0.3934426229508197</v>
      </c>
      <c r="Q37" s="1">
        <v>15</v>
      </c>
      <c r="R37" s="4">
        <v>0.04000235313991807</v>
      </c>
      <c r="S37" s="1" t="s">
        <v>295</v>
      </c>
      <c r="T37" s="1" t="s">
        <v>332</v>
      </c>
      <c r="U37" s="1" t="s">
        <v>336</v>
      </c>
      <c r="V37" s="1" t="s">
        <v>340</v>
      </c>
      <c r="W37" s="6" t="s">
        <v>344</v>
      </c>
      <c r="X37" s="7">
        <v>20960.860055</v>
      </c>
      <c r="Y37" s="10">
        <v>46106</v>
      </c>
      <c r="Z37" s="1" t="s">
        <v>361</v>
      </c>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row>
    <row r="38" spans="1:52">
      <c r="A38" s="8" t="s">
        <v>62</v>
      </c>
      <c r="B38" s="2">
        <f>HYPERLINK("https://www.suredividend.com/sure-analysis-EMN/","Eastman Chemical Co")</f>
        <v>0</v>
      </c>
      <c r="C38" s="1" t="s">
        <v>263</v>
      </c>
      <c r="D38" s="3">
        <v>78</v>
      </c>
      <c r="E38" s="3">
        <v>70.5</v>
      </c>
      <c r="F38" s="3">
        <v>70</v>
      </c>
      <c r="G38" s="4">
        <v>1.007142857142857</v>
      </c>
      <c r="H38" s="4">
        <v>0.0476595744680851</v>
      </c>
      <c r="I38" s="4">
        <v>-0.00142248086739849</v>
      </c>
      <c r="J38" s="4">
        <v>0.06</v>
      </c>
      <c r="K38" s="4">
        <v>0.1004294648085597</v>
      </c>
      <c r="L38" s="1" t="s">
        <v>268</v>
      </c>
      <c r="M38" s="5">
        <v>12.11340206185567</v>
      </c>
      <c r="N38" s="3">
        <v>5.82</v>
      </c>
      <c r="O38" s="3">
        <v>3.36</v>
      </c>
      <c r="P38" s="4">
        <v>0.5773195876288659</v>
      </c>
      <c r="Q38" s="1">
        <v>16</v>
      </c>
      <c r="R38" s="4">
        <v>0.06016789231717445</v>
      </c>
      <c r="S38" s="1" t="s">
        <v>282</v>
      </c>
      <c r="T38" s="1" t="s">
        <v>332</v>
      </c>
      <c r="U38" s="1" t="s">
        <v>336</v>
      </c>
      <c r="V38" s="1" t="s">
        <v>340</v>
      </c>
      <c r="W38" s="6" t="s">
        <v>347</v>
      </c>
      <c r="X38" s="7">
        <v>8074.250676</v>
      </c>
      <c r="Y38" s="10">
        <v>46146</v>
      </c>
      <c r="Z38" s="1" t="s">
        <v>358</v>
      </c>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row>
    <row r="39" spans="1:52">
      <c r="A39" s="8" t="s">
        <v>63</v>
      </c>
      <c r="B39" s="2">
        <f>HYPERLINK("https://www.suredividend.com/sure-analysis-HASI/","HA Sustainable Infrastructure Capital Inc.")</f>
        <v>0</v>
      </c>
      <c r="C39" s="1" t="s">
        <v>263</v>
      </c>
      <c r="D39" s="3">
        <v>41</v>
      </c>
      <c r="E39" s="3">
        <v>39.18</v>
      </c>
      <c r="F39" s="3">
        <v>34</v>
      </c>
      <c r="G39" s="4">
        <v>1.152352941176471</v>
      </c>
      <c r="H39" s="4">
        <v>0.04338948443083206</v>
      </c>
      <c r="I39" s="4">
        <v>-0.02796277465991115</v>
      </c>
      <c r="J39" s="4">
        <v>0.09</v>
      </c>
      <c r="K39" s="4">
        <v>0.09881933567779067</v>
      </c>
      <c r="L39" s="1" t="s">
        <v>268</v>
      </c>
      <c r="M39" s="5">
        <v>11.03661971830986</v>
      </c>
      <c r="N39" s="3">
        <v>3.55</v>
      </c>
      <c r="O39" s="3">
        <v>1.7</v>
      </c>
      <c r="P39" s="4">
        <v>0.4788732394366197</v>
      </c>
      <c r="Q39" s="1">
        <v>8</v>
      </c>
      <c r="R39" s="4">
        <v>0.06961037572506878</v>
      </c>
      <c r="S39" s="1" t="s">
        <v>296</v>
      </c>
      <c r="T39" s="1" t="s">
        <v>332</v>
      </c>
      <c r="U39" s="1" t="s">
        <v>336</v>
      </c>
      <c r="V39" s="1" t="s">
        <v>340</v>
      </c>
      <c r="W39" s="6" t="s">
        <v>342</v>
      </c>
      <c r="X39" s="7">
        <v>5031.995654</v>
      </c>
      <c r="Y39" s="10">
        <v>46152</v>
      </c>
      <c r="Z39" s="1" t="s">
        <v>358</v>
      </c>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row>
    <row r="40" spans="1:52">
      <c r="A40" s="8" t="s">
        <v>64</v>
      </c>
      <c r="B40" s="2">
        <f>HYPERLINK("https://www.suredividend.com/sure-analysis-NNN/","NNN REIT Inc")</f>
        <v>0</v>
      </c>
      <c r="C40" s="1" t="s">
        <v>263</v>
      </c>
      <c r="D40" s="3">
        <v>45</v>
      </c>
      <c r="E40" s="3">
        <v>46.38</v>
      </c>
      <c r="F40" s="3">
        <v>51</v>
      </c>
      <c r="G40" s="4">
        <v>0.9094117647058824</v>
      </c>
      <c r="H40" s="4">
        <v>0.05174644243208279</v>
      </c>
      <c r="I40" s="4">
        <v>0.01917294502612132</v>
      </c>
      <c r="J40" s="4">
        <v>0.03</v>
      </c>
      <c r="K40" s="4">
        <v>0.09267290484543422</v>
      </c>
      <c r="L40" s="1" t="s">
        <v>268</v>
      </c>
      <c r="M40" s="5">
        <v>13.17613636363637</v>
      </c>
      <c r="N40" s="3">
        <v>3.52</v>
      </c>
      <c r="O40" s="3">
        <v>2.4</v>
      </c>
      <c r="P40" s="4">
        <v>0.6818181818181818</v>
      </c>
      <c r="Q40" s="1">
        <v>36</v>
      </c>
      <c r="R40" s="4">
        <v>0.02983277847878951</v>
      </c>
      <c r="S40" s="1" t="s">
        <v>297</v>
      </c>
      <c r="T40" s="1" t="s">
        <v>332</v>
      </c>
      <c r="U40" s="1" t="s">
        <v>338</v>
      </c>
      <c r="V40" s="1" t="s">
        <v>340</v>
      </c>
      <c r="W40" s="6" t="s">
        <v>350</v>
      </c>
      <c r="X40" s="7">
        <v>8414.36637</v>
      </c>
      <c r="Y40" s="10">
        <v>46180</v>
      </c>
      <c r="Z40" s="1" t="s">
        <v>357</v>
      </c>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row>
    <row r="41" spans="1:52">
      <c r="A41" s="8" t="s">
        <v>65</v>
      </c>
      <c r="B41" s="2">
        <f>HYPERLINK("https://www.suredividend.com/sure-analysis-UBCP/","United Bancorp, Inc.")</f>
        <v>0</v>
      </c>
      <c r="C41" s="1" t="s">
        <v>263</v>
      </c>
      <c r="D41" s="3">
        <v>16</v>
      </c>
      <c r="E41" s="3">
        <v>15.85</v>
      </c>
      <c r="F41" s="3">
        <v>14.85</v>
      </c>
      <c r="G41" s="4">
        <v>1.067340067340067</v>
      </c>
      <c r="H41" s="4">
        <v>0.04921135646687697</v>
      </c>
      <c r="I41" s="4">
        <v>-0.0129493532298034</v>
      </c>
      <c r="J41" s="4">
        <v>0.06</v>
      </c>
      <c r="K41" s="4">
        <v>0.09120931557124989</v>
      </c>
      <c r="L41" s="1" t="s">
        <v>268</v>
      </c>
      <c r="M41" s="5">
        <v>11.74074074074074</v>
      </c>
      <c r="N41" s="3">
        <v>1.35</v>
      </c>
      <c r="O41" s="3">
        <v>0.78</v>
      </c>
      <c r="P41" s="4">
        <v>0.5777777777777777</v>
      </c>
      <c r="Q41" s="1">
        <v>13</v>
      </c>
      <c r="R41" s="4">
        <v>0.05922384104881218</v>
      </c>
      <c r="S41" s="1" t="s">
        <v>298</v>
      </c>
      <c r="T41" s="1" t="s">
        <v>332</v>
      </c>
      <c r="U41" s="1" t="s">
        <v>336</v>
      </c>
      <c r="V41" s="1" t="s">
        <v>340</v>
      </c>
      <c r="W41" s="6" t="s">
        <v>342</v>
      </c>
      <c r="X41" s="7">
        <v>91.166843</v>
      </c>
      <c r="Y41" s="10">
        <v>46153</v>
      </c>
      <c r="Z41" s="1" t="s">
        <v>358</v>
      </c>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row>
    <row r="42" spans="1:52">
      <c r="A42" s="8" t="s">
        <v>66</v>
      </c>
      <c r="B42" s="2">
        <f>HYPERLINK("https://www.suredividend.com/sure-analysis-EPD/","Enterprise Products Partners L P")</f>
        <v>0</v>
      </c>
      <c r="C42" s="1" t="s">
        <v>263</v>
      </c>
      <c r="D42" s="3">
        <v>38</v>
      </c>
      <c r="E42" s="3">
        <v>36.76</v>
      </c>
      <c r="F42" s="3">
        <v>34</v>
      </c>
      <c r="G42" s="4">
        <v>1.081176470588235</v>
      </c>
      <c r="H42" s="4">
        <v>0.05984766050054408</v>
      </c>
      <c r="I42" s="4">
        <v>-0.015488750715134</v>
      </c>
      <c r="J42" s="4">
        <v>0.05</v>
      </c>
      <c r="K42" s="4">
        <v>0.0877023437575335</v>
      </c>
      <c r="L42" s="1" t="s">
        <v>268</v>
      </c>
      <c r="M42" s="5">
        <v>9.828877005347593</v>
      </c>
      <c r="N42" s="3">
        <v>3.74</v>
      </c>
      <c r="O42" s="3">
        <v>2.2</v>
      </c>
      <c r="P42" s="4">
        <v>0.5882352941176471</v>
      </c>
      <c r="Q42" s="1">
        <v>28</v>
      </c>
      <c r="R42" s="4">
        <v>0.04487797891148193</v>
      </c>
      <c r="S42" s="1" t="s">
        <v>297</v>
      </c>
      <c r="T42" s="1" t="s">
        <v>332</v>
      </c>
      <c r="U42" s="1" t="s">
        <v>337</v>
      </c>
      <c r="V42" s="1" t="s">
        <v>340</v>
      </c>
      <c r="W42" s="6" t="s">
        <v>351</v>
      </c>
      <c r="X42" s="7">
        <v>54554.937663</v>
      </c>
      <c r="Y42" s="10">
        <v>46155</v>
      </c>
      <c r="Z42" s="1" t="s">
        <v>362</v>
      </c>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row>
    <row r="43" spans="1:52">
      <c r="A43" s="8" t="s">
        <v>67</v>
      </c>
      <c r="B43" s="2">
        <f>HYPERLINK("https://www.suredividend.com/sure-analysis-PRU/","Prudential Financial Inc.")</f>
        <v>0</v>
      </c>
      <c r="C43" s="1" t="s">
        <v>263</v>
      </c>
      <c r="D43" s="3">
        <v>101</v>
      </c>
      <c r="E43" s="3">
        <v>107.05</v>
      </c>
      <c r="F43" s="3">
        <v>108</v>
      </c>
      <c r="G43" s="4">
        <v>0.9912037037037037</v>
      </c>
      <c r="H43" s="4">
        <v>0.0523120037365717</v>
      </c>
      <c r="I43" s="4">
        <v>0.001768604557145226</v>
      </c>
      <c r="J43" s="4">
        <v>0.03</v>
      </c>
      <c r="K43" s="4">
        <v>0.07797033682323162</v>
      </c>
      <c r="L43" s="1" t="s">
        <v>268</v>
      </c>
      <c r="M43" s="5">
        <v>7.906203840472674</v>
      </c>
      <c r="N43" s="3">
        <v>13.54</v>
      </c>
      <c r="O43" s="3">
        <v>5.6</v>
      </c>
      <c r="P43" s="4">
        <v>0.413589364844904</v>
      </c>
      <c r="Q43" s="1">
        <v>18</v>
      </c>
      <c r="R43" s="4">
        <v>0.02993859771432428</v>
      </c>
      <c r="S43" s="1" t="s">
        <v>299</v>
      </c>
      <c r="T43" s="1" t="s">
        <v>332</v>
      </c>
      <c r="U43" s="1" t="s">
        <v>336</v>
      </c>
      <c r="V43" s="1" t="s">
        <v>340</v>
      </c>
      <c r="W43" s="6" t="s">
        <v>342</v>
      </c>
      <c r="X43" s="7">
        <v>37139.41</v>
      </c>
      <c r="Y43" s="10">
        <v>46155</v>
      </c>
      <c r="Z43" s="1" t="s">
        <v>355</v>
      </c>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row>
    <row r="44" spans="1:52">
      <c r="A44" s="8" t="s">
        <v>68</v>
      </c>
      <c r="B44" s="2">
        <f>HYPERLINK("https://www.suredividend.com/sure-analysis-UVV/","Universal Corp.")</f>
        <v>0</v>
      </c>
      <c r="C44" s="1" t="s">
        <v>263</v>
      </c>
      <c r="D44" s="3">
        <v>53</v>
      </c>
      <c r="E44" s="3">
        <v>53.17</v>
      </c>
      <c r="F44" s="3">
        <v>55</v>
      </c>
      <c r="G44" s="4">
        <v>0.9667272727272728</v>
      </c>
      <c r="H44" s="4">
        <v>0.06244122625540718</v>
      </c>
      <c r="I44" s="4">
        <v>0.006790724660343361</v>
      </c>
      <c r="J44" s="4">
        <v>0.015</v>
      </c>
      <c r="K44" s="4">
        <v>0.07473570333240587</v>
      </c>
      <c r="L44" s="1" t="s">
        <v>268</v>
      </c>
      <c r="M44" s="5">
        <v>12.65952380952381</v>
      </c>
      <c r="N44" s="3">
        <v>4.2</v>
      </c>
      <c r="O44" s="3">
        <v>3.32</v>
      </c>
      <c r="P44" s="4">
        <v>0.7904761904761904</v>
      </c>
      <c r="Q44" s="1">
        <v>56</v>
      </c>
      <c r="R44" s="4">
        <v>0.007711471035598105</v>
      </c>
      <c r="S44" s="1" t="s">
        <v>281</v>
      </c>
      <c r="T44" s="1" t="s">
        <v>332</v>
      </c>
      <c r="U44" s="1" t="s">
        <v>336</v>
      </c>
      <c r="V44" s="1" t="s">
        <v>340</v>
      </c>
      <c r="W44" s="6" t="s">
        <v>343</v>
      </c>
      <c r="X44" s="7">
        <v>1325.182282</v>
      </c>
      <c r="Y44" s="10">
        <v>46083</v>
      </c>
      <c r="Z44" s="1" t="s">
        <v>361</v>
      </c>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row>
    <row r="45" spans="1:52">
      <c r="A45" s="8" t="s">
        <v>69</v>
      </c>
      <c r="B45" s="2">
        <f>HYPERLINK("https://www.suredividend.com/sure-analysis-BBY/","Best Buy Co. Inc.")</f>
        <v>0</v>
      </c>
      <c r="C45" s="1" t="s">
        <v>263</v>
      </c>
      <c r="D45" s="3">
        <v>78</v>
      </c>
      <c r="E45" s="3">
        <v>76.8</v>
      </c>
      <c r="F45" s="3">
        <v>72</v>
      </c>
      <c r="G45" s="4">
        <v>1.066666666666667</v>
      </c>
      <c r="H45" s="4">
        <v>0.05</v>
      </c>
      <c r="I45" s="4">
        <v>-0.01282475708259012</v>
      </c>
      <c r="J45" s="4">
        <v>0.04</v>
      </c>
      <c r="K45" s="4">
        <v>0.07297953394069534</v>
      </c>
      <c r="L45" s="1" t="s">
        <v>268</v>
      </c>
      <c r="M45" s="5">
        <v>11.74311926605504</v>
      </c>
      <c r="N45" s="3">
        <v>6.54</v>
      </c>
      <c r="O45" s="3">
        <v>3.84</v>
      </c>
      <c r="P45" s="4">
        <v>0.5871559633027522</v>
      </c>
      <c r="Q45" s="1">
        <v>23</v>
      </c>
      <c r="R45" s="4">
        <v>0.03991329659184539</v>
      </c>
      <c r="S45" s="1" t="s">
        <v>300</v>
      </c>
      <c r="T45" s="1" t="s">
        <v>332</v>
      </c>
      <c r="U45" s="1" t="s">
        <v>336</v>
      </c>
      <c r="V45" s="1" t="s">
        <v>340</v>
      </c>
      <c r="W45" s="6" t="s">
        <v>345</v>
      </c>
      <c r="X45" s="7">
        <v>16205.884318</v>
      </c>
      <c r="Y45" s="10">
        <v>46174</v>
      </c>
      <c r="Z45" s="1" t="s">
        <v>364</v>
      </c>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row>
    <row r="46" spans="1:52">
      <c r="A46" s="8" t="s">
        <v>70</v>
      </c>
      <c r="B46" s="2">
        <f>HYPERLINK("https://www.suredividend.com/sure-analysis-CHBH/","Croghan Bancshares, Inc.")</f>
        <v>0</v>
      </c>
      <c r="C46" s="1" t="s">
        <v>263</v>
      </c>
      <c r="D46" s="3">
        <v>59</v>
      </c>
      <c r="E46" s="3">
        <v>61</v>
      </c>
      <c r="F46" s="3">
        <v>58</v>
      </c>
      <c r="G46" s="4">
        <v>1.051724137931034</v>
      </c>
      <c r="H46" s="4">
        <v>0.04</v>
      </c>
      <c r="I46" s="4">
        <v>-0.01003547588751741</v>
      </c>
      <c r="J46" s="4">
        <v>0.04</v>
      </c>
      <c r="K46" s="4">
        <v>0.06687663284504675</v>
      </c>
      <c r="L46" s="1" t="s">
        <v>268</v>
      </c>
      <c r="M46" s="5">
        <v>9.53125</v>
      </c>
      <c r="N46" s="3">
        <v>6.4</v>
      </c>
      <c r="O46" s="3">
        <v>2.44</v>
      </c>
      <c r="P46" s="4">
        <v>0.38125</v>
      </c>
      <c r="Q46" s="1">
        <v>16</v>
      </c>
      <c r="R46" s="4">
        <v>0.0400957567386353</v>
      </c>
      <c r="T46" s="1" t="s">
        <v>332</v>
      </c>
      <c r="U46" s="1" t="s">
        <v>336</v>
      </c>
      <c r="V46" s="1" t="s">
        <v>340</v>
      </c>
      <c r="W46" s="6" t="s">
        <v>342</v>
      </c>
      <c r="X46" s="7">
        <v>138.514469</v>
      </c>
      <c r="Y46" s="10">
        <v>46137</v>
      </c>
      <c r="Z46" s="1" t="s">
        <v>358</v>
      </c>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row>
    <row r="47" spans="1:52">
      <c r="A47" s="8" t="s">
        <v>71</v>
      </c>
      <c r="B47" s="2">
        <f>HYPERLINK("https://www.suredividend.com/sure-analysis-ENB/","Enbridge Inc")</f>
        <v>0</v>
      </c>
      <c r="C47" s="1" t="s">
        <v>263</v>
      </c>
      <c r="D47" s="3">
        <v>57</v>
      </c>
      <c r="E47" s="3">
        <v>56.18</v>
      </c>
      <c r="F47" s="3">
        <v>47</v>
      </c>
      <c r="G47" s="4">
        <v>1.19531914893617</v>
      </c>
      <c r="H47" s="4">
        <v>0.04983980064079743</v>
      </c>
      <c r="I47" s="4">
        <v>-0.03505352354341318</v>
      </c>
      <c r="J47" s="4">
        <v>0.03</v>
      </c>
      <c r="K47" s="4">
        <v>0.04576704762615114</v>
      </c>
      <c r="L47" s="1" t="s">
        <v>268</v>
      </c>
      <c r="M47" s="5">
        <v>13.21882352941176</v>
      </c>
      <c r="N47" s="3">
        <v>4.25</v>
      </c>
      <c r="O47" s="3">
        <v>2.8</v>
      </c>
      <c r="P47" s="4">
        <v>0.6588235294117647</v>
      </c>
      <c r="Q47" s="1">
        <v>31</v>
      </c>
      <c r="R47" s="4">
        <v>0.04020579649530265</v>
      </c>
      <c r="S47" s="1" t="s">
        <v>301</v>
      </c>
      <c r="T47" s="1" t="s">
        <v>332</v>
      </c>
      <c r="U47" s="1" t="s">
        <v>336</v>
      </c>
      <c r="V47" s="1" t="s">
        <v>341</v>
      </c>
      <c r="W47" s="6" t="s">
        <v>351</v>
      </c>
      <c r="X47" s="7">
        <v>122701.901559</v>
      </c>
      <c r="Y47" s="10">
        <v>46178</v>
      </c>
      <c r="Z47" s="1" t="s">
        <v>361</v>
      </c>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row>
    <row r="48" spans="1:52">
      <c r="A48" s="8" t="s">
        <v>72</v>
      </c>
      <c r="B48" s="2">
        <f>HYPERLINK("https://www.suredividend.com/sure-analysis-CRT/","Cross Timbers Royalty Trust")</f>
        <v>0</v>
      </c>
      <c r="C48" s="1" t="s">
        <v>264</v>
      </c>
      <c r="D48" s="3">
        <v>10.7</v>
      </c>
      <c r="E48" s="3">
        <v>8.890000000000001</v>
      </c>
      <c r="F48" s="3">
        <v>3.9</v>
      </c>
      <c r="G48" s="4">
        <v>2.27948717948718</v>
      </c>
      <c r="H48" s="4">
        <v>0.0483689538807649</v>
      </c>
      <c r="I48" s="4">
        <v>-0.1519283037317628</v>
      </c>
      <c r="J48" s="4">
        <v>0.14</v>
      </c>
      <c r="K48" s="4">
        <v>0.03881714112619061</v>
      </c>
      <c r="L48" s="1" t="s">
        <v>268</v>
      </c>
      <c r="M48" s="5">
        <v>20.67441860465117</v>
      </c>
      <c r="N48" s="3">
        <v>0.43</v>
      </c>
      <c r="O48" s="3">
        <v>0.43</v>
      </c>
      <c r="P48" s="4">
        <v>1</v>
      </c>
      <c r="Q48" s="1">
        <v>0</v>
      </c>
      <c r="R48" s="4">
        <v>0.1405699554864646</v>
      </c>
      <c r="S48" s="1" t="s">
        <v>302</v>
      </c>
      <c r="T48" s="1" t="s">
        <v>335</v>
      </c>
      <c r="U48" s="1" t="s">
        <v>336</v>
      </c>
      <c r="V48" s="1" t="s">
        <v>340</v>
      </c>
      <c r="W48" s="6" t="s">
        <v>351</v>
      </c>
      <c r="Y48" s="10">
        <v>46162</v>
      </c>
      <c r="Z48" s="1" t="s">
        <v>362</v>
      </c>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row>
    <row r="49" spans="1:52">
      <c r="A49" s="8" t="s">
        <v>73</v>
      </c>
      <c r="B49" s="2">
        <f>HYPERLINK("https://www.suredividend.com/sure-analysis-PAYX/","Paychex Inc.")</f>
        <v>0</v>
      </c>
      <c r="C49" s="1" t="s">
        <v>263</v>
      </c>
      <c r="D49" s="3">
        <v>93</v>
      </c>
      <c r="E49" s="3">
        <v>97.11</v>
      </c>
      <c r="F49" s="3">
        <v>138</v>
      </c>
      <c r="G49" s="4">
        <v>0.7036956521739131</v>
      </c>
      <c r="H49" s="4">
        <v>0.04448563484708063</v>
      </c>
      <c r="I49" s="4">
        <v>0.07281052714287606</v>
      </c>
      <c r="J49" s="4">
        <v>0.08</v>
      </c>
      <c r="K49" s="4">
        <v>0.1859494563297237</v>
      </c>
      <c r="L49" s="1" t="s">
        <v>269</v>
      </c>
      <c r="M49" s="5">
        <v>17.65636363636364</v>
      </c>
      <c r="N49" s="3">
        <v>5.5</v>
      </c>
      <c r="O49" s="3">
        <v>4.32</v>
      </c>
      <c r="P49" s="4">
        <v>0.7854545454545455</v>
      </c>
      <c r="Q49" s="1">
        <v>14</v>
      </c>
      <c r="R49" s="4">
        <v>0.0498652726572355</v>
      </c>
      <c r="S49" s="1" t="s">
        <v>273</v>
      </c>
      <c r="T49" s="1" t="s">
        <v>332</v>
      </c>
      <c r="U49" s="1" t="s">
        <v>336</v>
      </c>
      <c r="V49" s="1" t="s">
        <v>340</v>
      </c>
      <c r="W49" s="6" t="s">
        <v>352</v>
      </c>
      <c r="X49" s="7">
        <v>34653.89401</v>
      </c>
      <c r="Y49" s="10">
        <v>46113</v>
      </c>
      <c r="Z49" s="1" t="s">
        <v>355</v>
      </c>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row>
    <row r="50" spans="1:52">
      <c r="A50" s="8" t="s">
        <v>74</v>
      </c>
      <c r="B50" s="2">
        <f>HYPERLINK("https://www.suredividend.com/sure-analysis-REXR/","Rexford Industrial Realty Inc")</f>
        <v>0</v>
      </c>
      <c r="C50" s="1" t="s">
        <v>263</v>
      </c>
      <c r="D50" s="3">
        <v>36</v>
      </c>
      <c r="E50" s="3">
        <v>33.5</v>
      </c>
      <c r="F50" s="3">
        <v>48</v>
      </c>
      <c r="G50" s="4">
        <v>0.6979166666666666</v>
      </c>
      <c r="H50" s="4">
        <v>0.05194029850746269</v>
      </c>
      <c r="I50" s="4">
        <v>0.07458131835184778</v>
      </c>
      <c r="J50" s="4">
        <v>0.07000000000000001</v>
      </c>
      <c r="K50" s="4">
        <v>0.1823795510020096</v>
      </c>
      <c r="L50" s="1" t="s">
        <v>269</v>
      </c>
      <c r="M50" s="5">
        <v>13.95833333333333</v>
      </c>
      <c r="N50" s="3">
        <v>2.4</v>
      </c>
      <c r="O50" s="3">
        <v>1.74</v>
      </c>
      <c r="P50" s="4">
        <v>0.725</v>
      </c>
      <c r="Q50" s="1">
        <v>12</v>
      </c>
      <c r="R50" s="4">
        <v>0.0499309672496191</v>
      </c>
      <c r="S50" s="1" t="s">
        <v>274</v>
      </c>
      <c r="T50" s="1" t="s">
        <v>332</v>
      </c>
      <c r="U50" s="1" t="s">
        <v>338</v>
      </c>
      <c r="V50" s="1" t="s">
        <v>340</v>
      </c>
      <c r="W50" s="6" t="s">
        <v>350</v>
      </c>
      <c r="X50" s="7">
        <v>7561.556987</v>
      </c>
      <c r="Y50" s="10">
        <v>46137</v>
      </c>
      <c r="Z50" s="1" t="s">
        <v>362</v>
      </c>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row>
    <row r="51" spans="1:52">
      <c r="A51" s="8" t="s">
        <v>75</v>
      </c>
      <c r="B51" s="2">
        <f>HYPERLINK("https://www.suredividend.com/sure-analysis-WD/","Walker &amp; Dunlop, Inc.")</f>
        <v>0</v>
      </c>
      <c r="C51" s="1" t="s">
        <v>263</v>
      </c>
      <c r="D51" s="3">
        <v>55</v>
      </c>
      <c r="E51" s="3">
        <v>53</v>
      </c>
      <c r="F51" s="3">
        <v>55</v>
      </c>
      <c r="G51" s="4">
        <v>0.9636363636363636</v>
      </c>
      <c r="H51" s="4">
        <v>0.05132075471698114</v>
      </c>
      <c r="I51" s="4">
        <v>0.007435763341501644</v>
      </c>
      <c r="J51" s="4">
        <v>0.14</v>
      </c>
      <c r="K51" s="4">
        <v>0.1799422672492441</v>
      </c>
      <c r="L51" s="1" t="s">
        <v>269</v>
      </c>
      <c r="M51" s="5">
        <v>12.61904761904762</v>
      </c>
      <c r="N51" s="3">
        <v>4.2</v>
      </c>
      <c r="O51" s="3">
        <v>2.72</v>
      </c>
      <c r="P51" s="4">
        <v>0.6476190476190476</v>
      </c>
      <c r="Q51" s="1">
        <v>8</v>
      </c>
      <c r="R51" s="4">
        <v>0.04004425155086455</v>
      </c>
      <c r="S51" s="1" t="s">
        <v>303</v>
      </c>
      <c r="T51" s="1" t="s">
        <v>332</v>
      </c>
      <c r="U51" s="1" t="s">
        <v>336</v>
      </c>
      <c r="V51" s="1" t="s">
        <v>340</v>
      </c>
      <c r="W51" s="6" t="s">
        <v>342</v>
      </c>
      <c r="X51" s="7">
        <v>1819.555773</v>
      </c>
      <c r="Y51" s="10">
        <v>46152</v>
      </c>
      <c r="Z51" s="1" t="s">
        <v>357</v>
      </c>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row>
    <row r="52" spans="1:52">
      <c r="A52" s="8" t="s">
        <v>76</v>
      </c>
      <c r="B52" s="2">
        <f>HYPERLINK("https://www.suredividend.com/sure-analysis-PFE/","Pfizer Inc.")</f>
        <v>0</v>
      </c>
      <c r="C52" s="1" t="s">
        <v>263</v>
      </c>
      <c r="D52" s="3">
        <v>26</v>
      </c>
      <c r="E52" s="3">
        <v>23.78</v>
      </c>
      <c r="F52" s="3">
        <v>35</v>
      </c>
      <c r="G52" s="4">
        <v>0.6794285714285715</v>
      </c>
      <c r="H52" s="4">
        <v>0.07232968881412952</v>
      </c>
      <c r="I52" s="4">
        <v>0.08036682262362116</v>
      </c>
      <c r="J52" s="4">
        <v>0.05</v>
      </c>
      <c r="K52" s="4">
        <v>0.1773848075483615</v>
      </c>
      <c r="L52" s="1" t="s">
        <v>269</v>
      </c>
      <c r="M52" s="5">
        <v>8.200000000000001</v>
      </c>
      <c r="N52" s="3">
        <v>2.9</v>
      </c>
      <c r="O52" s="3">
        <v>1.72</v>
      </c>
      <c r="P52" s="4">
        <v>0.593103448275862</v>
      </c>
      <c r="Q52" s="1">
        <v>16</v>
      </c>
      <c r="R52" s="4">
        <v>0.02010536305016597</v>
      </c>
      <c r="S52" s="1" t="s">
        <v>304</v>
      </c>
      <c r="T52" s="1" t="s">
        <v>332</v>
      </c>
      <c r="U52" s="1" t="s">
        <v>336</v>
      </c>
      <c r="V52" s="1" t="s">
        <v>340</v>
      </c>
      <c r="W52" s="6" t="s">
        <v>348</v>
      </c>
      <c r="X52" s="7">
        <v>134905.84348</v>
      </c>
      <c r="Y52" s="10">
        <v>46155</v>
      </c>
      <c r="Z52" s="1" t="s">
        <v>364</v>
      </c>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row>
    <row r="53" spans="1:52">
      <c r="A53" s="8" t="s">
        <v>77</v>
      </c>
      <c r="B53" s="2">
        <f>HYPERLINK("https://www.suredividend.com/sure-analysis-JJSF/","J&amp;J Snack Foods Corp.")</f>
        <v>0</v>
      </c>
      <c r="C53" s="1" t="s">
        <v>263</v>
      </c>
      <c r="D53" s="3">
        <v>71</v>
      </c>
      <c r="E53" s="3">
        <v>73.23999999999999</v>
      </c>
      <c r="F53" s="3">
        <v>104</v>
      </c>
      <c r="G53" s="4">
        <v>0.7042307692307692</v>
      </c>
      <c r="H53" s="4">
        <v>0.04369197160021847</v>
      </c>
      <c r="I53" s="4">
        <v>0.07264744032402315</v>
      </c>
      <c r="J53" s="4">
        <v>0.07000000000000001</v>
      </c>
      <c r="K53" s="4">
        <v>0.1747794252627632</v>
      </c>
      <c r="L53" s="1" t="s">
        <v>269</v>
      </c>
      <c r="M53" s="5">
        <v>16.8367816091954</v>
      </c>
      <c r="N53" s="3">
        <v>4.35</v>
      </c>
      <c r="O53" s="3">
        <v>3.2</v>
      </c>
      <c r="P53" s="4">
        <v>0.7356321839080461</v>
      </c>
      <c r="Q53" s="1">
        <v>22</v>
      </c>
      <c r="R53" s="4">
        <v>0.03982420952666454</v>
      </c>
      <c r="S53" s="1" t="s">
        <v>286</v>
      </c>
      <c r="T53" s="1" t="s">
        <v>332</v>
      </c>
      <c r="U53" s="1" t="s">
        <v>336</v>
      </c>
      <c r="V53" s="1" t="s">
        <v>340</v>
      </c>
      <c r="W53" s="6" t="s">
        <v>343</v>
      </c>
      <c r="X53" s="7">
        <v>1373.500188</v>
      </c>
      <c r="Y53" s="10">
        <v>46160</v>
      </c>
      <c r="Z53" s="1" t="s">
        <v>356</v>
      </c>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row>
    <row r="54" spans="1:52">
      <c r="A54" s="8" t="s">
        <v>78</v>
      </c>
      <c r="B54" s="2">
        <f>HYPERLINK("https://www.suredividend.com/sure-analysis-SHOE/","Shoe Station Group, Inc. fka Shoe Carnival, Inc.")</f>
        <v>0</v>
      </c>
      <c r="C54" s="1" t="s">
        <v>263</v>
      </c>
      <c r="D54" s="3">
        <v>16</v>
      </c>
      <c r="E54" s="3">
        <v>15.42</v>
      </c>
      <c r="F54" s="3">
        <v>23</v>
      </c>
      <c r="G54" s="4">
        <v>0.6704347826086956</v>
      </c>
      <c r="H54" s="4">
        <v>0.04409857328145266</v>
      </c>
      <c r="I54" s="4">
        <v>0.08324998691532759</v>
      </c>
      <c r="J54" s="4">
        <v>0.05</v>
      </c>
      <c r="K54" s="4">
        <v>0.1632531107254989</v>
      </c>
      <c r="L54" s="1" t="s">
        <v>269</v>
      </c>
      <c r="M54" s="5">
        <v>10.28</v>
      </c>
      <c r="N54" s="3">
        <v>1.5</v>
      </c>
      <c r="O54" s="3">
        <v>0.68</v>
      </c>
      <c r="P54" s="4">
        <v>0.4533333333333334</v>
      </c>
      <c r="Q54" s="1">
        <v>15</v>
      </c>
      <c r="R54" s="4">
        <v>0.008671818621327709</v>
      </c>
      <c r="S54" s="1" t="s">
        <v>305</v>
      </c>
      <c r="T54" s="1" t="s">
        <v>332</v>
      </c>
      <c r="U54" s="1" t="s">
        <v>336</v>
      </c>
      <c r="V54" s="1" t="s">
        <v>340</v>
      </c>
      <c r="W54" s="6" t="s">
        <v>345</v>
      </c>
      <c r="X54" s="7">
        <v>424.103431</v>
      </c>
      <c r="Y54" s="10">
        <v>46194</v>
      </c>
      <c r="Z54" s="1" t="s">
        <v>359</v>
      </c>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row>
    <row r="55" spans="1:52">
      <c r="A55" s="8" t="s">
        <v>79</v>
      </c>
      <c r="B55" s="2">
        <f>HYPERLINK("https://www.suredividend.com/sure-analysis-VRTS/","Virtus Investment Partners, Inc.")</f>
        <v>0</v>
      </c>
      <c r="C55" s="1" t="s">
        <v>263</v>
      </c>
      <c r="D55" s="3">
        <v>136</v>
      </c>
      <c r="E55" s="3">
        <v>135.74</v>
      </c>
      <c r="F55" s="3">
        <v>200</v>
      </c>
      <c r="G55" s="4">
        <v>0.6787000000000001</v>
      </c>
      <c r="H55" s="4">
        <v>0.07072344187417121</v>
      </c>
      <c r="I55" s="4">
        <v>0.08059867370117901</v>
      </c>
      <c r="J55" s="4">
        <v>0.03</v>
      </c>
      <c r="K55" s="4">
        <v>0.1619838879573006</v>
      </c>
      <c r="L55" s="1" t="s">
        <v>269</v>
      </c>
      <c r="M55" s="5">
        <v>5.429600000000001</v>
      </c>
      <c r="N55" s="3">
        <v>25</v>
      </c>
      <c r="O55" s="3">
        <v>9.6</v>
      </c>
      <c r="P55" s="4">
        <v>0.384</v>
      </c>
      <c r="Q55" s="1">
        <v>8</v>
      </c>
      <c r="R55" s="4">
        <v>0.04996052445273014</v>
      </c>
      <c r="S55" s="1" t="s">
        <v>306</v>
      </c>
      <c r="T55" s="1" t="s">
        <v>332</v>
      </c>
      <c r="U55" s="1" t="s">
        <v>336</v>
      </c>
      <c r="V55" s="1" t="s">
        <v>340</v>
      </c>
      <c r="W55" s="6" t="s">
        <v>342</v>
      </c>
      <c r="X55" s="7">
        <v>906.697134</v>
      </c>
      <c r="Y55" s="10">
        <v>46146</v>
      </c>
      <c r="Z55" s="1" t="s">
        <v>358</v>
      </c>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row>
    <row r="56" spans="1:52">
      <c r="A56" s="8" t="s">
        <v>80</v>
      </c>
      <c r="B56" s="2">
        <f>HYPERLINK("https://www.suredividend.com/sure-analysis-TAP/","Molson Coors Beverage Company")</f>
        <v>0</v>
      </c>
      <c r="C56" s="1" t="s">
        <v>263</v>
      </c>
      <c r="D56" s="3">
        <v>42</v>
      </c>
      <c r="E56" s="3">
        <v>41</v>
      </c>
      <c r="F56" s="3">
        <v>57</v>
      </c>
      <c r="G56" s="4">
        <v>0.7192982456140351</v>
      </c>
      <c r="H56" s="4">
        <v>0.04682926829268293</v>
      </c>
      <c r="I56" s="4">
        <v>0.06811545670713692</v>
      </c>
      <c r="J56" s="4">
        <v>0.06</v>
      </c>
      <c r="K56" s="4">
        <v>0.1609599998120073</v>
      </c>
      <c r="L56" s="1" t="s">
        <v>269</v>
      </c>
      <c r="M56" s="5">
        <v>8.631578947368421</v>
      </c>
      <c r="N56" s="3">
        <v>4.75</v>
      </c>
      <c r="O56" s="3">
        <v>1.92</v>
      </c>
      <c r="P56" s="4">
        <v>0.4042105263157895</v>
      </c>
      <c r="Q56" s="1">
        <v>6</v>
      </c>
      <c r="R56" s="4">
        <v>0.02001586442069092</v>
      </c>
      <c r="S56" s="1" t="s">
        <v>287</v>
      </c>
      <c r="T56" s="1" t="s">
        <v>332</v>
      </c>
      <c r="U56" s="1" t="s">
        <v>336</v>
      </c>
      <c r="V56" s="1" t="s">
        <v>340</v>
      </c>
      <c r="W56" s="6" t="s">
        <v>343</v>
      </c>
      <c r="X56" s="7">
        <v>7207.138404</v>
      </c>
      <c r="Y56" s="10">
        <v>46147</v>
      </c>
      <c r="Z56" s="1" t="s">
        <v>354</v>
      </c>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row>
    <row r="57" spans="1:52">
      <c r="A57" s="8" t="s">
        <v>81</v>
      </c>
      <c r="B57" s="2">
        <f>HYPERLINK("https://www.suredividend.com/sure-analysis-FDP/","Fresh Del Monte Produce Inc")</f>
        <v>0</v>
      </c>
      <c r="C57" s="1" t="s">
        <v>263</v>
      </c>
      <c r="D57" s="3">
        <v>42</v>
      </c>
      <c r="E57" s="3">
        <v>28.35</v>
      </c>
      <c r="F57" s="3">
        <v>47</v>
      </c>
      <c r="G57" s="4">
        <v>0.6031914893617022</v>
      </c>
      <c r="H57" s="4">
        <v>0.04232804232804233</v>
      </c>
      <c r="I57" s="4">
        <v>0.1063918269857289</v>
      </c>
      <c r="J57" s="4">
        <v>0.02</v>
      </c>
      <c r="K57" s="4">
        <v>0.1597721322229062</v>
      </c>
      <c r="L57" s="1" t="s">
        <v>269</v>
      </c>
      <c r="M57" s="5">
        <v>9.14516129032258</v>
      </c>
      <c r="N57" s="3">
        <v>3.1</v>
      </c>
      <c r="O57" s="3">
        <v>1.2</v>
      </c>
      <c r="P57" s="4">
        <v>0.3870967741935484</v>
      </c>
      <c r="Q57" s="1">
        <v>6</v>
      </c>
      <c r="R57" s="4">
        <v>0.0796084730466029</v>
      </c>
      <c r="S57" s="1" t="s">
        <v>307</v>
      </c>
      <c r="T57" s="1" t="s">
        <v>332</v>
      </c>
      <c r="U57" s="1" t="s">
        <v>336</v>
      </c>
      <c r="V57" s="1" t="s">
        <v>341</v>
      </c>
      <c r="W57" s="6" t="s">
        <v>343</v>
      </c>
      <c r="X57" s="7">
        <v>1350.224163</v>
      </c>
      <c r="Y57" s="10">
        <v>46086</v>
      </c>
      <c r="Z57" s="1" t="s">
        <v>365</v>
      </c>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row>
    <row r="58" spans="1:52">
      <c r="A58" s="8" t="s">
        <v>82</v>
      </c>
      <c r="B58" s="2">
        <f>HYPERLINK("https://www.suredividend.com/sure-analysis-INFY/","Infosys Ltd")</f>
        <v>0</v>
      </c>
      <c r="C58" s="1" t="s">
        <v>263</v>
      </c>
      <c r="D58" s="3">
        <v>12</v>
      </c>
      <c r="E58" s="3">
        <v>10.64</v>
      </c>
      <c r="F58" s="3">
        <v>15</v>
      </c>
      <c r="G58" s="4">
        <v>0.7093333333333334</v>
      </c>
      <c r="H58" s="4">
        <v>0.04887218045112782</v>
      </c>
      <c r="I58" s="4">
        <v>0.07109977040898485</v>
      </c>
      <c r="J58" s="4">
        <v>0.05</v>
      </c>
      <c r="K58" s="4">
        <v>0.1591185127979817</v>
      </c>
      <c r="L58" s="1" t="s">
        <v>269</v>
      </c>
      <c r="M58" s="5">
        <v>12.81927710843374</v>
      </c>
      <c r="N58" s="3">
        <v>0.83</v>
      </c>
      <c r="O58" s="3">
        <v>0.52</v>
      </c>
      <c r="P58" s="4">
        <v>0.6265060240963856</v>
      </c>
      <c r="Q58" s="1">
        <v>11</v>
      </c>
      <c r="R58" s="4">
        <v>0.06125302037503699</v>
      </c>
      <c r="T58" s="1" t="s">
        <v>334</v>
      </c>
      <c r="U58" s="1" t="s">
        <v>336</v>
      </c>
      <c r="V58" s="1" t="s">
        <v>341</v>
      </c>
      <c r="W58" s="6" t="s">
        <v>344</v>
      </c>
      <c r="X58" s="7">
        <v>42867.604512</v>
      </c>
      <c r="Y58" s="10">
        <v>46155</v>
      </c>
      <c r="Z58" s="1" t="s">
        <v>361</v>
      </c>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row>
    <row r="59" spans="1:52">
      <c r="A59" s="8" t="s">
        <v>83</v>
      </c>
      <c r="B59" s="2">
        <f>HYPERLINK("https://www.suredividend.com/sure-analysis-WGO/","Winnebago Industries, Inc.")</f>
        <v>0</v>
      </c>
      <c r="C59" s="1" t="s">
        <v>263</v>
      </c>
      <c r="D59" s="3">
        <v>32</v>
      </c>
      <c r="E59" s="3">
        <v>30.5</v>
      </c>
      <c r="F59" s="3">
        <v>33</v>
      </c>
      <c r="G59" s="4">
        <v>0.9242424242424242</v>
      </c>
      <c r="H59" s="4">
        <v>0.04590163934426229</v>
      </c>
      <c r="I59" s="4">
        <v>0.01588095861135153</v>
      </c>
      <c r="J59" s="4">
        <v>0.11</v>
      </c>
      <c r="K59" s="4">
        <v>0.1588322360996346</v>
      </c>
      <c r="L59" s="1" t="s">
        <v>269</v>
      </c>
      <c r="M59" s="5">
        <v>12.97872340425532</v>
      </c>
      <c r="N59" s="3">
        <v>2.35</v>
      </c>
      <c r="O59" s="3">
        <v>1.4</v>
      </c>
      <c r="P59" s="4">
        <v>0.5957446808510638</v>
      </c>
      <c r="Q59" s="1">
        <v>7</v>
      </c>
      <c r="R59" s="4">
        <v>0.05037650558764373</v>
      </c>
      <c r="S59" s="1" t="s">
        <v>295</v>
      </c>
      <c r="T59" s="1" t="s">
        <v>332</v>
      </c>
      <c r="U59" s="1" t="s">
        <v>336</v>
      </c>
      <c r="V59" s="1" t="s">
        <v>340</v>
      </c>
      <c r="W59" s="6" t="s">
        <v>345</v>
      </c>
      <c r="X59" s="7">
        <v>872.943416</v>
      </c>
      <c r="Y59" s="10">
        <v>46112</v>
      </c>
      <c r="Z59" s="1" t="s">
        <v>363</v>
      </c>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row>
    <row r="60" spans="1:52">
      <c r="A60" s="8" t="s">
        <v>84</v>
      </c>
      <c r="B60" s="2">
        <f>HYPERLINK("https://www.suredividend.com/sure-analysis-LCII/","LCI Industries")</f>
        <v>0</v>
      </c>
      <c r="C60" s="1" t="s">
        <v>263</v>
      </c>
      <c r="D60" s="3">
        <v>192</v>
      </c>
      <c r="E60" s="3">
        <v>95.83</v>
      </c>
      <c r="F60" s="3">
        <v>135</v>
      </c>
      <c r="G60" s="4">
        <v>0.7098518518518518</v>
      </c>
      <c r="H60" s="4">
        <v>0.04800166962329124</v>
      </c>
      <c r="I60" s="4">
        <v>0.07094324551987796</v>
      </c>
      <c r="J60" s="4">
        <v>0.05</v>
      </c>
      <c r="K60" s="4">
        <v>0.1564554971266168</v>
      </c>
      <c r="L60" s="1" t="s">
        <v>269</v>
      </c>
      <c r="M60" s="5">
        <v>10.67149220489978</v>
      </c>
      <c r="N60" s="3">
        <v>8.98</v>
      </c>
      <c r="O60" s="3">
        <v>4.6</v>
      </c>
      <c r="P60" s="4">
        <v>0.5122494432071268</v>
      </c>
      <c r="Q60" s="1">
        <v>9</v>
      </c>
      <c r="R60" s="4">
        <v>0.04012620718096094</v>
      </c>
      <c r="S60" s="1" t="s">
        <v>287</v>
      </c>
      <c r="T60" s="1" t="s">
        <v>332</v>
      </c>
      <c r="U60" s="1" t="s">
        <v>336</v>
      </c>
      <c r="V60" s="1" t="s">
        <v>340</v>
      </c>
      <c r="W60" s="6" t="s">
        <v>345</v>
      </c>
      <c r="X60" s="7">
        <v>2327.736612</v>
      </c>
      <c r="Y60" s="10">
        <v>46188</v>
      </c>
      <c r="Z60" s="1" t="s">
        <v>359</v>
      </c>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row>
    <row r="61" spans="1:52">
      <c r="A61" s="8" t="s">
        <v>85</v>
      </c>
      <c r="B61" s="2">
        <f>HYPERLINK("https://www.suredividend.com/sure-analysis-MURGF/","Muenchener Rueckversicherungs-Gesellschaft AG")</f>
        <v>0</v>
      </c>
      <c r="C61" s="1" t="s">
        <v>263</v>
      </c>
      <c r="D61" s="3">
        <v>559</v>
      </c>
      <c r="E61" s="3">
        <v>542.08</v>
      </c>
      <c r="F61" s="3">
        <v>720</v>
      </c>
      <c r="G61" s="4">
        <v>0.7528888888888889</v>
      </c>
      <c r="H61" s="4">
        <v>0.05312868949232585</v>
      </c>
      <c r="I61" s="4">
        <v>0.05840972692981561</v>
      </c>
      <c r="J61" s="4">
        <v>0.05</v>
      </c>
      <c r="K61" s="4">
        <v>0.1486331472479629</v>
      </c>
      <c r="L61" s="1" t="s">
        <v>269</v>
      </c>
      <c r="M61" s="5">
        <v>9.034666666666668</v>
      </c>
      <c r="N61" s="3">
        <v>60</v>
      </c>
      <c r="O61" s="3">
        <v>28.8</v>
      </c>
      <c r="P61" s="4">
        <v>0.48</v>
      </c>
      <c r="Q61" s="1">
        <v>5</v>
      </c>
      <c r="R61" s="4">
        <v>0.04558145504937694</v>
      </c>
      <c r="T61" s="1" t="s">
        <v>333</v>
      </c>
      <c r="U61" s="1" t="s">
        <v>336</v>
      </c>
      <c r="V61" s="1" t="s">
        <v>341</v>
      </c>
      <c r="W61" s="6" t="s">
        <v>342</v>
      </c>
      <c r="Y61" s="10">
        <v>46163</v>
      </c>
      <c r="Z61" s="1" t="s">
        <v>358</v>
      </c>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row>
    <row r="62" spans="1:52">
      <c r="A62" s="8" t="s">
        <v>86</v>
      </c>
      <c r="B62" s="2">
        <f>HYPERLINK("https://www.suredividend.com/sure-analysis-PAA/","Plains All American Pipeline LP")</f>
        <v>0</v>
      </c>
      <c r="C62" s="1" t="s">
        <v>263</v>
      </c>
      <c r="D62" s="3">
        <v>21.72</v>
      </c>
      <c r="E62" s="3">
        <v>21.62</v>
      </c>
      <c r="F62" s="3">
        <v>21.6</v>
      </c>
      <c r="G62" s="4">
        <v>1.000925925925926</v>
      </c>
      <c r="H62" s="4">
        <v>0.07724329324699351</v>
      </c>
      <c r="I62" s="4">
        <v>-0.000185082374332235</v>
      </c>
      <c r="J62" s="4">
        <v>0.05</v>
      </c>
      <c r="K62" s="4">
        <v>0.1277699722536079</v>
      </c>
      <c r="L62" s="1" t="s">
        <v>269</v>
      </c>
      <c r="M62" s="5">
        <v>8.007407407407408</v>
      </c>
      <c r="N62" s="3">
        <v>2.7</v>
      </c>
      <c r="O62" s="3">
        <v>1.67</v>
      </c>
      <c r="P62" s="4">
        <v>0.6185185185185185</v>
      </c>
      <c r="Q62" s="1">
        <v>5</v>
      </c>
      <c r="R62" s="4">
        <v>0.1197631514056174</v>
      </c>
      <c r="S62" s="1" t="s">
        <v>288</v>
      </c>
      <c r="T62" s="1" t="s">
        <v>332</v>
      </c>
      <c r="U62" s="1" t="s">
        <v>337</v>
      </c>
      <c r="V62" s="1" t="s">
        <v>340</v>
      </c>
      <c r="W62" s="6" t="s">
        <v>351</v>
      </c>
      <c r="X62" s="7">
        <v>8805.975157999999</v>
      </c>
      <c r="Y62" s="10">
        <v>46153</v>
      </c>
      <c r="Z62" s="1" t="s">
        <v>358</v>
      </c>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row>
    <row r="63" spans="1:52">
      <c r="A63" s="8" t="s">
        <v>87</v>
      </c>
      <c r="B63" s="2">
        <f>HYPERLINK("https://www.suredividend.com/sure-analysis-RSKIA/","George Risk Industries, Inc.")</f>
        <v>0</v>
      </c>
      <c r="C63" s="1" t="s">
        <v>263</v>
      </c>
      <c r="D63" s="3">
        <v>18.3</v>
      </c>
      <c r="E63" s="3">
        <v>18.99</v>
      </c>
      <c r="F63" s="3">
        <v>20.16</v>
      </c>
      <c r="G63" s="4">
        <v>0.9419642857142856</v>
      </c>
      <c r="H63" s="4">
        <v>0.05265929436545551</v>
      </c>
      <c r="I63" s="4">
        <v>0.01202936139017341</v>
      </c>
      <c r="J63" s="4">
        <v>0.07000000000000001</v>
      </c>
      <c r="K63" s="4">
        <v>0.126319238054464</v>
      </c>
      <c r="L63" s="1" t="s">
        <v>269</v>
      </c>
      <c r="M63" s="5">
        <v>16.95535714285714</v>
      </c>
      <c r="N63" s="3">
        <v>1.12</v>
      </c>
      <c r="O63" s="3">
        <v>1</v>
      </c>
      <c r="P63" s="4">
        <v>0.8928571428571428</v>
      </c>
      <c r="Q63" s="1">
        <v>15</v>
      </c>
      <c r="R63" s="4">
        <v>0.06961037572506878</v>
      </c>
      <c r="T63" s="1" t="s">
        <v>333</v>
      </c>
      <c r="U63" s="1" t="s">
        <v>336</v>
      </c>
      <c r="V63" s="1" t="s">
        <v>340</v>
      </c>
      <c r="W63" s="6" t="s">
        <v>352</v>
      </c>
      <c r="X63" s="7">
        <v>93.288983</v>
      </c>
      <c r="Y63" s="10">
        <v>46132</v>
      </c>
      <c r="Z63" s="1" t="s">
        <v>363</v>
      </c>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row>
    <row r="64" spans="1:52">
      <c r="A64" s="8" t="s">
        <v>88</v>
      </c>
      <c r="B64" s="2">
        <f>HYPERLINK("https://www.suredividend.com/sure-analysis-EPRT/","Essential Properties Realty Trust Inc")</f>
        <v>0</v>
      </c>
      <c r="C64" s="1" t="s">
        <v>263</v>
      </c>
      <c r="D64" s="3">
        <v>31</v>
      </c>
      <c r="E64" s="3">
        <v>30.385</v>
      </c>
      <c r="F64" s="3">
        <v>34</v>
      </c>
      <c r="G64" s="4">
        <v>0.8936764705882353</v>
      </c>
      <c r="H64" s="4">
        <v>0.04212604903735396</v>
      </c>
      <c r="I64" s="4">
        <v>0.02273692318000675</v>
      </c>
      <c r="J64" s="4">
        <v>0.07000000000000001</v>
      </c>
      <c r="K64" s="4">
        <v>0.1258483191983617</v>
      </c>
      <c r="L64" s="1" t="s">
        <v>269</v>
      </c>
      <c r="M64" s="5">
        <v>15.04207920792079</v>
      </c>
      <c r="N64" s="3">
        <v>2.02</v>
      </c>
      <c r="O64" s="3">
        <v>1.28</v>
      </c>
      <c r="P64" s="4">
        <v>0.6336633663366337</v>
      </c>
      <c r="Q64" s="1">
        <v>7</v>
      </c>
      <c r="R64" s="4">
        <v>0.04301228432069748</v>
      </c>
      <c r="S64" s="1" t="s">
        <v>274</v>
      </c>
      <c r="T64" s="1" t="s">
        <v>332</v>
      </c>
      <c r="U64" s="1" t="s">
        <v>338</v>
      </c>
      <c r="V64" s="1" t="s">
        <v>340</v>
      </c>
      <c r="W64" s="6" t="s">
        <v>350</v>
      </c>
      <c r="X64" s="7">
        <v>6573.877032</v>
      </c>
      <c r="Y64" s="10">
        <v>46139</v>
      </c>
      <c r="Z64" s="1" t="s">
        <v>354</v>
      </c>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row>
    <row r="65" spans="1:52">
      <c r="A65" s="8" t="s">
        <v>89</v>
      </c>
      <c r="B65" s="2">
        <f>HYPERLINK("https://www.suredividend.com/sure-analysis-AVA/","Avista Corp.")</f>
        <v>0</v>
      </c>
      <c r="C65" s="1" t="s">
        <v>263</v>
      </c>
      <c r="D65" s="3">
        <v>41</v>
      </c>
      <c r="E65" s="3">
        <v>40.97</v>
      </c>
      <c r="F65" s="3">
        <v>46</v>
      </c>
      <c r="G65" s="4">
        <v>0.8906521739130434</v>
      </c>
      <c r="H65" s="4">
        <v>0.04808396387600684</v>
      </c>
      <c r="I65" s="4">
        <v>0.02343054239312847</v>
      </c>
      <c r="J65" s="4">
        <v>0.055</v>
      </c>
      <c r="K65" s="4">
        <v>0.1154149664137403</v>
      </c>
      <c r="L65" s="1" t="s">
        <v>269</v>
      </c>
      <c r="M65" s="5">
        <v>15.63740458015267</v>
      </c>
      <c r="N65" s="3">
        <v>2.62</v>
      </c>
      <c r="O65" s="3">
        <v>1.97</v>
      </c>
      <c r="P65" s="4">
        <v>0.7519083969465649</v>
      </c>
      <c r="Q65" s="1">
        <v>24</v>
      </c>
      <c r="R65" s="4">
        <v>0.02510352608067556</v>
      </c>
      <c r="S65" s="1" t="s">
        <v>307</v>
      </c>
      <c r="T65" s="1" t="s">
        <v>332</v>
      </c>
      <c r="U65" s="1" t="s">
        <v>336</v>
      </c>
      <c r="V65" s="1" t="s">
        <v>340</v>
      </c>
      <c r="W65" s="6" t="s">
        <v>349</v>
      </c>
      <c r="X65" s="7">
        <v>3384.870093</v>
      </c>
      <c r="Y65" s="10">
        <v>46156</v>
      </c>
      <c r="Z65" s="1" t="s">
        <v>357</v>
      </c>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row>
    <row r="66" spans="1:52">
      <c r="A66" s="8" t="s">
        <v>90</v>
      </c>
      <c r="B66" s="2">
        <f>HYPERLINK("https://www.suredividend.com/sure-analysis-UDR/","UDR Inc")</f>
        <v>0</v>
      </c>
      <c r="C66" s="1" t="s">
        <v>263</v>
      </c>
      <c r="D66" s="3">
        <v>37</v>
      </c>
      <c r="E66" s="3">
        <v>39.1</v>
      </c>
      <c r="F66" s="3">
        <v>47</v>
      </c>
      <c r="G66" s="4">
        <v>0.8319148936170213</v>
      </c>
      <c r="H66" s="4">
        <v>0.04450127877237851</v>
      </c>
      <c r="I66" s="4">
        <v>0.03749071838083773</v>
      </c>
      <c r="J66" s="4">
        <v>0.035</v>
      </c>
      <c r="K66" s="4">
        <v>0.1091410682859784</v>
      </c>
      <c r="L66" s="1" t="s">
        <v>269</v>
      </c>
      <c r="M66" s="5">
        <v>15.51587301587302</v>
      </c>
      <c r="N66" s="3">
        <v>2.52</v>
      </c>
      <c r="O66" s="3">
        <v>1.74</v>
      </c>
      <c r="P66" s="4">
        <v>0.6904761904761905</v>
      </c>
      <c r="Q66" s="1">
        <v>15</v>
      </c>
      <c r="R66" s="4">
        <v>0.04029694359974445</v>
      </c>
      <c r="S66" s="1" t="s">
        <v>308</v>
      </c>
      <c r="T66" s="1" t="s">
        <v>335</v>
      </c>
      <c r="U66" s="1" t="s">
        <v>338</v>
      </c>
      <c r="V66" s="1" t="s">
        <v>340</v>
      </c>
      <c r="W66" s="6" t="s">
        <v>350</v>
      </c>
      <c r="X66" s="7">
        <v>12704.202032</v>
      </c>
      <c r="Y66" s="10">
        <v>46143</v>
      </c>
      <c r="Z66" s="1" t="s">
        <v>354</v>
      </c>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row>
    <row r="67" spans="1:52">
      <c r="A67" s="8" t="s">
        <v>91</v>
      </c>
      <c r="B67" s="2">
        <f>HYPERLINK("https://www.suredividend.com/sure-analysis-VZ/","Verizon Communications Inc")</f>
        <v>0</v>
      </c>
      <c r="C67" s="1" t="s">
        <v>263</v>
      </c>
      <c r="D67" s="3">
        <v>47</v>
      </c>
      <c r="E67" s="3">
        <v>46.05</v>
      </c>
      <c r="F67" s="3">
        <v>55</v>
      </c>
      <c r="G67" s="4">
        <v>0.8372727272727272</v>
      </c>
      <c r="H67" s="4">
        <v>0.06145494028230185</v>
      </c>
      <c r="I67" s="4">
        <v>0.03615949480907532</v>
      </c>
      <c r="J67" s="4">
        <v>0.025</v>
      </c>
      <c r="K67" s="4">
        <v>0.108965874246792</v>
      </c>
      <c r="L67" s="1" t="s">
        <v>269</v>
      </c>
      <c r="M67" s="5">
        <v>9.26559356136821</v>
      </c>
      <c r="N67" s="3">
        <v>4.97</v>
      </c>
      <c r="O67" s="3">
        <v>2.83</v>
      </c>
      <c r="P67" s="4">
        <v>0.5694164989939638</v>
      </c>
      <c r="Q67" s="1">
        <v>21</v>
      </c>
      <c r="R67" s="4">
        <v>0.01970284664458988</v>
      </c>
      <c r="S67" s="1" t="s">
        <v>309</v>
      </c>
      <c r="T67" s="1" t="s">
        <v>332</v>
      </c>
      <c r="U67" s="1" t="s">
        <v>336</v>
      </c>
      <c r="V67" s="1" t="s">
        <v>340</v>
      </c>
      <c r="W67" s="6" t="s">
        <v>346</v>
      </c>
      <c r="X67" s="7">
        <v>192367.998984</v>
      </c>
      <c r="Y67" s="10">
        <v>46143</v>
      </c>
      <c r="Z67" s="1" t="s">
        <v>355</v>
      </c>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row>
    <row r="68" spans="1:52">
      <c r="A68" s="8" t="s">
        <v>92</v>
      </c>
      <c r="B68" s="2">
        <f>HYPERLINK("https://www.suredividend.com/sure-analysis-CUBE/","CubeSmart")</f>
        <v>0</v>
      </c>
      <c r="C68" s="1" t="s">
        <v>263</v>
      </c>
      <c r="D68" s="3">
        <v>40</v>
      </c>
      <c r="E68" s="3">
        <v>40.6</v>
      </c>
      <c r="F68" s="3">
        <v>41</v>
      </c>
      <c r="G68" s="4">
        <v>0.9902439024390244</v>
      </c>
      <c r="H68" s="4">
        <v>0.05221674876847291</v>
      </c>
      <c r="I68" s="4">
        <v>0.001962723644758135</v>
      </c>
      <c r="J68" s="4">
        <v>0.06</v>
      </c>
      <c r="K68" s="4">
        <v>0.1071617548770138</v>
      </c>
      <c r="L68" s="1" t="s">
        <v>269</v>
      </c>
      <c r="M68" s="5">
        <v>15.859375</v>
      </c>
      <c r="N68" s="3">
        <v>2.56</v>
      </c>
      <c r="O68" s="3">
        <v>2.12</v>
      </c>
      <c r="P68" s="4">
        <v>0.828125</v>
      </c>
      <c r="Q68" s="1">
        <v>16</v>
      </c>
      <c r="R68" s="4">
        <v>0.06022122873100355</v>
      </c>
      <c r="S68" s="1" t="s">
        <v>278</v>
      </c>
      <c r="T68" s="1" t="s">
        <v>332</v>
      </c>
      <c r="U68" s="1" t="s">
        <v>338</v>
      </c>
      <c r="V68" s="1" t="s">
        <v>340</v>
      </c>
      <c r="W68" s="6" t="s">
        <v>350</v>
      </c>
      <c r="X68" s="7">
        <v>9203.71406</v>
      </c>
      <c r="Y68" s="10">
        <v>46146</v>
      </c>
      <c r="Z68" s="1" t="s">
        <v>358</v>
      </c>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row>
    <row r="69" spans="1:52">
      <c r="A69" s="8" t="s">
        <v>93</v>
      </c>
      <c r="B69" s="2">
        <f>HYPERLINK("https://www.suredividend.com/sure-analysis-COLB/","Columbia Banking System, Inc.")</f>
        <v>0</v>
      </c>
      <c r="C69" s="1" t="s">
        <v>263</v>
      </c>
      <c r="D69" s="3">
        <v>26</v>
      </c>
      <c r="E69" s="3">
        <v>32</v>
      </c>
      <c r="F69" s="3">
        <v>31</v>
      </c>
      <c r="G69" s="4">
        <v>1.032258064516129</v>
      </c>
      <c r="H69" s="4">
        <v>0.04625</v>
      </c>
      <c r="I69" s="4">
        <v>-0.00632962266777104</v>
      </c>
      <c r="J69" s="4">
        <v>0.07000000000000001</v>
      </c>
      <c r="K69" s="4">
        <v>0.1022647546587259</v>
      </c>
      <c r="L69" s="1" t="s">
        <v>269</v>
      </c>
      <c r="M69" s="5">
        <v>10.45751633986928</v>
      </c>
      <c r="N69" s="3">
        <v>3.06</v>
      </c>
      <c r="O69" s="3">
        <v>1.48</v>
      </c>
      <c r="P69" s="4">
        <v>0.4836601307189543</v>
      </c>
      <c r="Q69" s="1">
        <v>5</v>
      </c>
      <c r="R69" s="4">
        <v>0.0501226304546607</v>
      </c>
      <c r="S69" s="1" t="s">
        <v>287</v>
      </c>
      <c r="T69" s="1" t="s">
        <v>332</v>
      </c>
      <c r="U69" s="1" t="s">
        <v>336</v>
      </c>
      <c r="V69" s="1" t="s">
        <v>340</v>
      </c>
      <c r="W69" s="6" t="s">
        <v>342</v>
      </c>
      <c r="X69" s="7">
        <v>9283.956038</v>
      </c>
      <c r="Y69" s="10">
        <v>46097</v>
      </c>
      <c r="Z69" s="1" t="s">
        <v>365</v>
      </c>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row>
    <row r="70" spans="1:52">
      <c r="A70" s="8" t="s">
        <v>94</v>
      </c>
      <c r="B70" s="2">
        <f>HYPERLINK("https://www.suredividend.com/sure-analysis-MAA/","Mid-America Apartment Communities, Inc.")</f>
        <v>0</v>
      </c>
      <c r="C70" s="1" t="s">
        <v>263</v>
      </c>
      <c r="D70" s="3">
        <v>129</v>
      </c>
      <c r="E70" s="3">
        <v>138.08</v>
      </c>
      <c r="F70" s="3">
        <v>152</v>
      </c>
      <c r="G70" s="4">
        <v>0.908421052631579</v>
      </c>
      <c r="H70" s="4">
        <v>0.04432213209733488</v>
      </c>
      <c r="I70" s="4">
        <v>0.01939514744167847</v>
      </c>
      <c r="J70" s="4">
        <v>0.04</v>
      </c>
      <c r="K70" s="4">
        <v>0.09662447432316257</v>
      </c>
      <c r="L70" s="1" t="s">
        <v>269</v>
      </c>
      <c r="M70" s="5">
        <v>16.05581395348838</v>
      </c>
      <c r="N70" s="3">
        <v>8.6</v>
      </c>
      <c r="O70" s="3">
        <v>6.12</v>
      </c>
      <c r="P70" s="4">
        <v>0.7116279069767443</v>
      </c>
      <c r="Q70" s="1">
        <v>15</v>
      </c>
      <c r="R70" s="4">
        <v>0.03589154319978571</v>
      </c>
      <c r="S70" s="1" t="s">
        <v>310</v>
      </c>
      <c r="T70" s="1" t="s">
        <v>332</v>
      </c>
      <c r="U70" s="1" t="s">
        <v>338</v>
      </c>
      <c r="V70" s="1" t="s">
        <v>340</v>
      </c>
      <c r="W70" s="6" t="s">
        <v>350</v>
      </c>
      <c r="X70" s="7">
        <v>16099.965204</v>
      </c>
      <c r="Y70" s="10">
        <v>46148</v>
      </c>
      <c r="Z70" s="1" t="s">
        <v>362</v>
      </c>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row>
    <row r="71" spans="1:52">
      <c r="A71" s="8" t="s">
        <v>95</v>
      </c>
      <c r="B71" s="2">
        <f>HYPERLINK("https://www.suredividend.com/sure-analysis-PINE/","Alpine Income Property Trust Inc")</f>
        <v>0</v>
      </c>
      <c r="C71" s="1" t="s">
        <v>263</v>
      </c>
      <c r="D71" s="3">
        <v>19.68</v>
      </c>
      <c r="E71" s="3">
        <v>20.24</v>
      </c>
      <c r="F71" s="3">
        <v>21.3</v>
      </c>
      <c r="G71" s="4">
        <v>0.9502347417840374</v>
      </c>
      <c r="H71" s="4">
        <v>0.05928853754940712</v>
      </c>
      <c r="I71" s="4">
        <v>0.01026153781066008</v>
      </c>
      <c r="J71" s="4">
        <v>0.035</v>
      </c>
      <c r="K71" s="4">
        <v>0.09574817858518103</v>
      </c>
      <c r="L71" s="1" t="s">
        <v>269</v>
      </c>
      <c r="M71" s="5">
        <v>9.502347417840376</v>
      </c>
      <c r="N71" s="3">
        <v>2.13</v>
      </c>
      <c r="O71" s="3">
        <v>1.2</v>
      </c>
      <c r="P71" s="4">
        <v>0.5633802816901409</v>
      </c>
      <c r="Q71" s="1">
        <v>7</v>
      </c>
      <c r="R71" s="4">
        <v>0.0356928028244019</v>
      </c>
      <c r="S71" s="1" t="s">
        <v>311</v>
      </c>
      <c r="T71" s="1" t="s">
        <v>332</v>
      </c>
      <c r="U71" s="1" t="s">
        <v>338</v>
      </c>
      <c r="V71" s="1" t="s">
        <v>340</v>
      </c>
      <c r="W71" s="6" t="s">
        <v>350</v>
      </c>
      <c r="X71" s="7">
        <v>334.625357</v>
      </c>
      <c r="Y71" s="10">
        <v>46137</v>
      </c>
      <c r="Z71" s="1" t="s">
        <v>358</v>
      </c>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row>
    <row r="72" spans="1:52">
      <c r="A72" s="8" t="s">
        <v>96</v>
      </c>
      <c r="B72" s="2">
        <f>HYPERLINK("https://www.suredividend.com/sure-analysis-SUN/","Sunoco LP")</f>
        <v>0</v>
      </c>
      <c r="C72" s="1" t="s">
        <v>263</v>
      </c>
      <c r="D72" s="3">
        <v>66</v>
      </c>
      <c r="E72" s="3">
        <v>64.7</v>
      </c>
      <c r="F72" s="3">
        <v>72</v>
      </c>
      <c r="G72" s="4">
        <v>0.8986111111111111</v>
      </c>
      <c r="H72" s="4">
        <v>0.06120556414219474</v>
      </c>
      <c r="I72" s="4">
        <v>0.02161119451471882</v>
      </c>
      <c r="J72" s="4">
        <v>0.02</v>
      </c>
      <c r="K72" s="4">
        <v>0.09347642775478859</v>
      </c>
      <c r="L72" s="1" t="s">
        <v>269</v>
      </c>
      <c r="M72" s="5">
        <v>5.391666666666667</v>
      </c>
      <c r="N72" s="3">
        <v>12</v>
      </c>
      <c r="O72" s="3">
        <v>3.96</v>
      </c>
      <c r="P72" s="4">
        <v>0.33</v>
      </c>
      <c r="Q72" s="1">
        <v>4</v>
      </c>
      <c r="R72" s="4">
        <v>0.02996744995959233</v>
      </c>
      <c r="S72" s="1" t="s">
        <v>304</v>
      </c>
      <c r="T72" s="1" t="s">
        <v>332</v>
      </c>
      <c r="U72" s="1" t="s">
        <v>337</v>
      </c>
      <c r="V72" s="1" t="s">
        <v>340</v>
      </c>
      <c r="W72" s="6" t="s">
        <v>351</v>
      </c>
      <c r="X72" s="7">
        <v>3641.796418</v>
      </c>
      <c r="Y72" s="10">
        <v>46169</v>
      </c>
      <c r="Z72" s="1" t="s">
        <v>361</v>
      </c>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row>
    <row r="73" spans="1:52">
      <c r="A73" s="8" t="s">
        <v>97</v>
      </c>
      <c r="B73" s="2">
        <f>HYPERLINK("https://www.suredividend.com/sure-analysis-ADC/","Agree Realty Corp.")</f>
        <v>0</v>
      </c>
      <c r="C73" s="1" t="s">
        <v>263</v>
      </c>
      <c r="D73" s="3">
        <v>75</v>
      </c>
      <c r="E73" s="3">
        <v>75.94499999999999</v>
      </c>
      <c r="F73" s="3">
        <v>82</v>
      </c>
      <c r="G73" s="4">
        <v>0.9261585365853657</v>
      </c>
      <c r="H73" s="4">
        <v>0.04213575613931135</v>
      </c>
      <c r="I73" s="4">
        <v>0.01546026283728907</v>
      </c>
      <c r="J73" s="4">
        <v>0.04</v>
      </c>
      <c r="K73" s="4">
        <v>0.09173117830470501</v>
      </c>
      <c r="L73" s="1" t="s">
        <v>269</v>
      </c>
      <c r="M73" s="5">
        <v>16.61816192560175</v>
      </c>
      <c r="N73" s="3">
        <v>4.57</v>
      </c>
      <c r="O73" s="3">
        <v>3.2</v>
      </c>
      <c r="P73" s="4">
        <v>0.700218818380744</v>
      </c>
      <c r="Q73" s="1">
        <v>14</v>
      </c>
      <c r="R73" s="4">
        <v>0.03982420952666454</v>
      </c>
      <c r="S73" s="1" t="s">
        <v>287</v>
      </c>
      <c r="T73" s="1" t="s">
        <v>335</v>
      </c>
      <c r="U73" s="1" t="s">
        <v>338</v>
      </c>
      <c r="V73" s="1" t="s">
        <v>340</v>
      </c>
      <c r="W73" s="6" t="s">
        <v>350</v>
      </c>
      <c r="X73" s="7">
        <v>9125.418417999999</v>
      </c>
      <c r="Y73" s="10">
        <v>46169</v>
      </c>
      <c r="Z73" s="1" t="s">
        <v>359</v>
      </c>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row r="74" spans="1:52">
      <c r="A74" s="8" t="s">
        <v>98</v>
      </c>
      <c r="B74" s="2">
        <f>HYPERLINK("https://www.suredividend.com/sure-analysis-NGG/","National Grid Plc")</f>
        <v>0</v>
      </c>
      <c r="C74" s="1" t="s">
        <v>263</v>
      </c>
      <c r="D74" s="3">
        <v>82</v>
      </c>
      <c r="E74" s="3">
        <v>83.69</v>
      </c>
      <c r="F74" s="3">
        <v>91</v>
      </c>
      <c r="G74" s="4">
        <v>0.9196703296703297</v>
      </c>
      <c r="H74" s="4">
        <v>0.04038714302784084</v>
      </c>
      <c r="I74" s="4">
        <v>0.01688903612748649</v>
      </c>
      <c r="J74" s="4">
        <v>0.04</v>
      </c>
      <c r="K74" s="4">
        <v>0.09165562415301642</v>
      </c>
      <c r="L74" s="1" t="s">
        <v>269</v>
      </c>
      <c r="M74" s="5">
        <v>13.78747940691927</v>
      </c>
      <c r="N74" s="3">
        <v>6.07</v>
      </c>
      <c r="O74" s="3">
        <v>3.38</v>
      </c>
      <c r="P74" s="4">
        <v>0.5568369028006589</v>
      </c>
      <c r="Q74" s="1">
        <v>3</v>
      </c>
      <c r="R74" s="4">
        <v>0.03988430711083502</v>
      </c>
      <c r="S74" s="1" t="s">
        <v>287</v>
      </c>
      <c r="T74" s="1" t="s">
        <v>334</v>
      </c>
      <c r="U74" s="1" t="s">
        <v>336</v>
      </c>
      <c r="V74" s="1" t="s">
        <v>341</v>
      </c>
      <c r="W74" s="6" t="s">
        <v>349</v>
      </c>
      <c r="X74" s="7">
        <v>86739.593624</v>
      </c>
      <c r="Y74" s="10">
        <v>46191</v>
      </c>
      <c r="Z74" s="1" t="s">
        <v>364</v>
      </c>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row>
    <row r="75" spans="1:52">
      <c r="A75" s="8" t="s">
        <v>99</v>
      </c>
      <c r="B75" s="2">
        <f>HYPERLINK("https://www.suredividend.com/sure-analysis-UHT/","Universal Health Realty Income Trust")</f>
        <v>0</v>
      </c>
      <c r="C75" s="1" t="s">
        <v>263</v>
      </c>
      <c r="D75" s="3">
        <v>41</v>
      </c>
      <c r="E75" s="3">
        <v>41.72</v>
      </c>
      <c r="F75" s="3">
        <v>42</v>
      </c>
      <c r="G75" s="4">
        <v>0.9933333333333333</v>
      </c>
      <c r="H75" s="4">
        <v>0.07190795781399809</v>
      </c>
      <c r="I75" s="4">
        <v>0.001338692880585857</v>
      </c>
      <c r="J75" s="4">
        <v>0.02</v>
      </c>
      <c r="K75" s="4">
        <v>0.08243909341143718</v>
      </c>
      <c r="L75" s="1" t="s">
        <v>269</v>
      </c>
      <c r="M75" s="5">
        <v>12.05780346820809</v>
      </c>
      <c r="N75" s="3">
        <v>3.46</v>
      </c>
      <c r="O75" s="3">
        <v>3</v>
      </c>
      <c r="P75" s="4">
        <v>0.8670520231213873</v>
      </c>
      <c r="Q75" s="1">
        <v>40</v>
      </c>
      <c r="R75" s="4">
        <v>0.01362369791050599</v>
      </c>
      <c r="S75" s="1" t="s">
        <v>312</v>
      </c>
      <c r="T75" s="1" t="s">
        <v>332</v>
      </c>
      <c r="U75" s="1" t="s">
        <v>338</v>
      </c>
      <c r="V75" s="1" t="s">
        <v>340</v>
      </c>
      <c r="W75" s="6" t="s">
        <v>350</v>
      </c>
      <c r="X75" s="7">
        <v>579.167461</v>
      </c>
      <c r="Y75" s="10">
        <v>46144</v>
      </c>
      <c r="Z75" s="1" t="s">
        <v>357</v>
      </c>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row>
    <row r="76" spans="1:52">
      <c r="A76" s="8" t="s">
        <v>100</v>
      </c>
      <c r="B76" s="2">
        <f>HYPERLINK("https://www.suredividend.com/sure-analysis-BBVA/","Banco Bilbao Vizcaya Argentaria, S.A.")</f>
        <v>0</v>
      </c>
      <c r="C76" s="1" t="s">
        <v>263</v>
      </c>
      <c r="D76" s="3">
        <v>23.4</v>
      </c>
      <c r="E76" s="3">
        <v>24.48</v>
      </c>
      <c r="F76" s="3">
        <v>22</v>
      </c>
      <c r="G76" s="4">
        <v>1.112727272727273</v>
      </c>
      <c r="H76" s="4">
        <v>0.04738562091503268</v>
      </c>
      <c r="I76" s="4">
        <v>-0.02113623247344354</v>
      </c>
      <c r="J76" s="4">
        <v>0.06</v>
      </c>
      <c r="K76" s="4">
        <v>0.08237157978938581</v>
      </c>
      <c r="L76" s="1" t="s">
        <v>269</v>
      </c>
      <c r="M76" s="5">
        <v>11.12727272727273</v>
      </c>
      <c r="N76" s="3">
        <v>2.2</v>
      </c>
      <c r="O76" s="3">
        <v>1.16</v>
      </c>
      <c r="P76" s="4">
        <v>0.5272727272727272</v>
      </c>
      <c r="Q76" s="1">
        <v>5</v>
      </c>
      <c r="R76" s="4">
        <v>0.05968000996951628</v>
      </c>
      <c r="S76" s="1" t="s">
        <v>284</v>
      </c>
      <c r="T76" s="1" t="s">
        <v>334</v>
      </c>
      <c r="U76" s="1" t="s">
        <v>336</v>
      </c>
      <c r="V76" s="1" t="s">
        <v>341</v>
      </c>
      <c r="W76" s="6" t="s">
        <v>342</v>
      </c>
      <c r="X76" s="7">
        <v>140041.002211</v>
      </c>
      <c r="Y76" s="10">
        <v>46174</v>
      </c>
      <c r="Z76" s="1" t="s">
        <v>363</v>
      </c>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row>
    <row r="77" spans="1:52">
      <c r="A77" s="8" t="s">
        <v>101</v>
      </c>
      <c r="B77" s="2">
        <f>HYPERLINK("https://www.suredividend.com/sure-analysis-FNLC/","First Bancorp Inc (ME)")</f>
        <v>0</v>
      </c>
      <c r="C77" s="1" t="s">
        <v>263</v>
      </c>
      <c r="D77" s="3">
        <v>29</v>
      </c>
      <c r="E77" s="3">
        <v>34.105</v>
      </c>
      <c r="F77" s="3">
        <v>35</v>
      </c>
      <c r="G77" s="4">
        <v>0.9744285714285713</v>
      </c>
      <c r="H77" s="4">
        <v>0.04339539656941798</v>
      </c>
      <c r="I77" s="4">
        <v>0.005194255689683569</v>
      </c>
      <c r="J77" s="4">
        <v>0.04</v>
      </c>
      <c r="K77" s="4">
        <v>0.08198101841338201</v>
      </c>
      <c r="L77" s="1" t="s">
        <v>269</v>
      </c>
      <c r="M77" s="5">
        <v>10.6578125</v>
      </c>
      <c r="N77" s="3">
        <v>3.2</v>
      </c>
      <c r="O77" s="3">
        <v>1.48</v>
      </c>
      <c r="P77" s="4">
        <v>0.4625</v>
      </c>
      <c r="Q77" s="1">
        <v>13</v>
      </c>
      <c r="R77" s="4">
        <v>0.02567439351051015</v>
      </c>
      <c r="S77" s="1" t="s">
        <v>293</v>
      </c>
      <c r="T77" s="1" t="s">
        <v>332</v>
      </c>
      <c r="U77" s="1" t="s">
        <v>336</v>
      </c>
      <c r="V77" s="1" t="s">
        <v>340</v>
      </c>
      <c r="W77" s="6" t="s">
        <v>342</v>
      </c>
      <c r="X77" s="7">
        <v>383.93956</v>
      </c>
      <c r="Y77" s="10">
        <v>46135</v>
      </c>
      <c r="Z77" s="1" t="s">
        <v>362</v>
      </c>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c r="A78" s="8" t="s">
        <v>102</v>
      </c>
      <c r="B78" s="2">
        <f>HYPERLINK("https://www.suredividend.com/sure-analysis-KIM/","Kimco Realty Corporation")</f>
        <v>0</v>
      </c>
      <c r="C78" s="1" t="s">
        <v>263</v>
      </c>
      <c r="D78" s="3">
        <v>26</v>
      </c>
      <c r="E78" s="3">
        <v>25.52</v>
      </c>
      <c r="F78" s="3">
        <v>26</v>
      </c>
      <c r="G78" s="4">
        <v>0.9815384615384615</v>
      </c>
      <c r="H78" s="4">
        <v>0.04075235109717869</v>
      </c>
      <c r="I78" s="4">
        <v>0.00373376912248724</v>
      </c>
      <c r="J78" s="4">
        <v>0.04</v>
      </c>
      <c r="K78" s="4">
        <v>0.07954834649456988</v>
      </c>
      <c r="L78" s="1" t="s">
        <v>269</v>
      </c>
      <c r="M78" s="5">
        <v>13.94535519125683</v>
      </c>
      <c r="N78" s="3">
        <v>1.83</v>
      </c>
      <c r="O78" s="3">
        <v>1.04</v>
      </c>
      <c r="P78" s="4">
        <v>0.5683060109289617</v>
      </c>
      <c r="Q78" s="1">
        <v>6</v>
      </c>
      <c r="R78" s="4">
        <v>0.03580420358021419</v>
      </c>
      <c r="S78" s="1" t="s">
        <v>272</v>
      </c>
      <c r="T78" s="1" t="s">
        <v>332</v>
      </c>
      <c r="U78" s="1" t="s">
        <v>338</v>
      </c>
      <c r="V78" s="1" t="s">
        <v>340</v>
      </c>
      <c r="W78" s="6" t="s">
        <v>350</v>
      </c>
      <c r="X78" s="7">
        <v>17210.427492</v>
      </c>
      <c r="Y78" s="10">
        <v>46187</v>
      </c>
      <c r="Z78" s="1" t="s">
        <v>357</v>
      </c>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row>
    <row r="79" spans="1:52">
      <c r="A79" s="8" t="s">
        <v>103</v>
      </c>
      <c r="B79" s="2">
        <f>HYPERLINK("https://www.suredividend.com/sure-analysis-CNA/","CNA Financial Corp.")</f>
        <v>0</v>
      </c>
      <c r="C79" s="1" t="s">
        <v>263</v>
      </c>
      <c r="D79" s="3">
        <v>47</v>
      </c>
      <c r="E79" s="3">
        <v>46.93</v>
      </c>
      <c r="F79" s="3">
        <v>50</v>
      </c>
      <c r="G79" s="4">
        <v>0.9386</v>
      </c>
      <c r="H79" s="4">
        <v>0.04091199659066695</v>
      </c>
      <c r="I79" s="4">
        <v>0.01275382012420812</v>
      </c>
      <c r="J79" s="4">
        <v>0.03</v>
      </c>
      <c r="K79" s="4">
        <v>0.07849090978097495</v>
      </c>
      <c r="L79" s="1" t="s">
        <v>269</v>
      </c>
      <c r="M79" s="5">
        <v>10.31428571428571</v>
      </c>
      <c r="N79" s="3">
        <v>4.55</v>
      </c>
      <c r="O79" s="3">
        <v>1.92</v>
      </c>
      <c r="P79" s="4">
        <v>0.421978021978022</v>
      </c>
      <c r="Q79" s="1">
        <v>10</v>
      </c>
      <c r="R79" s="4">
        <v>0.03038784497717151</v>
      </c>
      <c r="S79" s="1" t="s">
        <v>292</v>
      </c>
      <c r="T79" s="1" t="s">
        <v>332</v>
      </c>
      <c r="U79" s="1" t="s">
        <v>336</v>
      </c>
      <c r="V79" s="1" t="s">
        <v>340</v>
      </c>
      <c r="W79" s="6" t="s">
        <v>342</v>
      </c>
      <c r="X79" s="7">
        <v>12698.74509</v>
      </c>
      <c r="Y79" s="10">
        <v>46146</v>
      </c>
      <c r="Z79" s="1" t="s">
        <v>358</v>
      </c>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row>
    <row r="80" spans="1:52">
      <c r="A80" s="8" t="s">
        <v>104</v>
      </c>
      <c r="B80" s="2">
        <f>HYPERLINK("https://www.suredividend.com/sure-analysis-HSBC/","HSBC Holdings plc")</f>
        <v>0</v>
      </c>
      <c r="C80" s="1" t="s">
        <v>263</v>
      </c>
      <c r="D80" s="3">
        <v>93</v>
      </c>
      <c r="E80" s="3">
        <v>94</v>
      </c>
      <c r="F80" s="3">
        <v>85</v>
      </c>
      <c r="G80" s="4">
        <v>1.105882352941177</v>
      </c>
      <c r="H80" s="4">
        <v>0.04414893617021277</v>
      </c>
      <c r="I80" s="4">
        <v>-0.01992747519818672</v>
      </c>
      <c r="J80" s="4">
        <v>0.06</v>
      </c>
      <c r="K80" s="4">
        <v>0.07844999476046399</v>
      </c>
      <c r="L80" s="1" t="s">
        <v>269</v>
      </c>
      <c r="M80" s="5">
        <v>11.05882352941176</v>
      </c>
      <c r="N80" s="3">
        <v>8.5</v>
      </c>
      <c r="O80" s="3">
        <v>4.15</v>
      </c>
      <c r="P80" s="4">
        <v>0.4882352941176471</v>
      </c>
      <c r="Q80" s="1">
        <v>4</v>
      </c>
      <c r="R80" s="4">
        <v>0.04003668004870131</v>
      </c>
      <c r="S80" s="1" t="s">
        <v>301</v>
      </c>
      <c r="T80" s="1" t="s">
        <v>332</v>
      </c>
      <c r="U80" s="1" t="s">
        <v>336</v>
      </c>
      <c r="V80" s="1" t="s">
        <v>341</v>
      </c>
      <c r="W80" s="6" t="s">
        <v>342</v>
      </c>
      <c r="X80" s="7">
        <v>326535.660256</v>
      </c>
      <c r="Y80" s="10">
        <v>46186</v>
      </c>
      <c r="Z80" s="1" t="s">
        <v>359</v>
      </c>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row>
    <row r="81" spans="1:52">
      <c r="A81" s="8" t="s">
        <v>105</v>
      </c>
      <c r="B81" s="2">
        <f>HYPERLINK("https://www.suredividend.com/sure-analysis-HVT/","Haverty Furniture Companies, Inc.")</f>
        <v>0</v>
      </c>
      <c r="C81" s="1" t="s">
        <v>263</v>
      </c>
      <c r="D81" s="3">
        <v>20.81</v>
      </c>
      <c r="E81" s="3">
        <v>25.15</v>
      </c>
      <c r="F81" s="3">
        <v>22.68</v>
      </c>
      <c r="G81" s="4">
        <v>1.108906525573192</v>
      </c>
      <c r="H81" s="4">
        <v>0.05248508946322068</v>
      </c>
      <c r="I81" s="4">
        <v>-0.02046262346683048</v>
      </c>
      <c r="J81" s="4">
        <v>0.05</v>
      </c>
      <c r="K81" s="4">
        <v>0.07787436768565725</v>
      </c>
      <c r="L81" s="1" t="s">
        <v>269</v>
      </c>
      <c r="M81" s="5">
        <v>15.52469135802469</v>
      </c>
      <c r="N81" s="3">
        <v>1.62</v>
      </c>
      <c r="O81" s="3">
        <v>1.32</v>
      </c>
      <c r="P81" s="4">
        <v>0.8148148148148148</v>
      </c>
      <c r="Q81" s="1">
        <v>12</v>
      </c>
      <c r="R81" s="4">
        <v>0.04941452284458392</v>
      </c>
      <c r="S81" s="1" t="s">
        <v>285</v>
      </c>
      <c r="T81" s="1" t="s">
        <v>332</v>
      </c>
      <c r="U81" s="1" t="s">
        <v>336</v>
      </c>
      <c r="V81" s="1" t="s">
        <v>340</v>
      </c>
      <c r="W81" s="6" t="s">
        <v>345</v>
      </c>
      <c r="X81" s="7">
        <v>404.637174</v>
      </c>
      <c r="Y81" s="10">
        <v>46160</v>
      </c>
      <c r="Z81" s="1" t="s">
        <v>355</v>
      </c>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row>
    <row r="82" spans="1:52">
      <c r="A82" s="8" t="s">
        <v>106</v>
      </c>
      <c r="B82" s="2">
        <f>HYPERLINK("https://www.suredividend.com/sure-analysis-SWKS/","Skyworks Solutions, Inc.")</f>
        <v>0</v>
      </c>
      <c r="C82" s="1" t="s">
        <v>263</v>
      </c>
      <c r="D82" s="3">
        <v>69</v>
      </c>
      <c r="E82" s="3">
        <v>69.05</v>
      </c>
      <c r="F82" s="3">
        <v>65</v>
      </c>
      <c r="G82" s="4">
        <v>1.062307692307692</v>
      </c>
      <c r="H82" s="4">
        <v>0.04112961622013034</v>
      </c>
      <c r="I82" s="4">
        <v>-0.0120159469398734</v>
      </c>
      <c r="J82" s="4">
        <v>0.05</v>
      </c>
      <c r="K82" s="4">
        <v>0.07779306472788305</v>
      </c>
      <c r="L82" s="1" t="s">
        <v>269</v>
      </c>
      <c r="M82" s="5">
        <v>13.78243512974052</v>
      </c>
      <c r="N82" s="3">
        <v>5.01</v>
      </c>
      <c r="O82" s="3">
        <v>2.84</v>
      </c>
      <c r="P82" s="4">
        <v>0.5668662674650699</v>
      </c>
      <c r="Q82" s="1">
        <v>12</v>
      </c>
      <c r="R82" s="4">
        <v>0.06982550252761355</v>
      </c>
      <c r="S82" s="1" t="s">
        <v>299</v>
      </c>
      <c r="T82" s="1" t="s">
        <v>332</v>
      </c>
      <c r="U82" s="1" t="s">
        <v>336</v>
      </c>
      <c r="V82" s="1" t="s">
        <v>340</v>
      </c>
      <c r="W82" s="6" t="s">
        <v>344</v>
      </c>
      <c r="X82" s="7">
        <v>10519.393052</v>
      </c>
      <c r="Y82" s="10">
        <v>46190</v>
      </c>
      <c r="Z82" s="1" t="s">
        <v>359</v>
      </c>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row>
    <row r="83" spans="1:52">
      <c r="A83" s="8" t="s">
        <v>107</v>
      </c>
      <c r="B83" s="2">
        <f>HYPERLINK("https://www.suredividend.com/sure-analysis-PEBO/","Peoples Bancorp Inc.")</f>
        <v>0</v>
      </c>
      <c r="C83" s="1" t="s">
        <v>263</v>
      </c>
      <c r="D83" s="3">
        <v>35</v>
      </c>
      <c r="E83" s="3">
        <v>37.85</v>
      </c>
      <c r="F83" s="3">
        <v>34</v>
      </c>
      <c r="G83" s="4">
        <v>1.113235294117647</v>
      </c>
      <c r="H83" s="4">
        <v>0.04438573315719947</v>
      </c>
      <c r="I83" s="4">
        <v>-0.02122558906017724</v>
      </c>
      <c r="J83" s="4">
        <v>0.04</v>
      </c>
      <c r="K83" s="4">
        <v>0.06069562804294293</v>
      </c>
      <c r="L83" s="1" t="s">
        <v>269</v>
      </c>
      <c r="M83" s="5">
        <v>11.16519174041298</v>
      </c>
      <c r="N83" s="3">
        <v>3.39</v>
      </c>
      <c r="O83" s="3">
        <v>1.68</v>
      </c>
      <c r="P83" s="4">
        <v>0.495575221238938</v>
      </c>
      <c r="Q83" s="1">
        <v>11</v>
      </c>
      <c r="R83" s="4">
        <v>0.03959498820755258</v>
      </c>
      <c r="S83" s="1" t="s">
        <v>276</v>
      </c>
      <c r="T83" s="1" t="s">
        <v>332</v>
      </c>
      <c r="U83" s="1" t="s">
        <v>336</v>
      </c>
      <c r="V83" s="1" t="s">
        <v>340</v>
      </c>
      <c r="W83" s="6" t="s">
        <v>342</v>
      </c>
      <c r="X83" s="7">
        <v>1359.344143</v>
      </c>
      <c r="Y83" s="10">
        <v>46134</v>
      </c>
      <c r="Z83" s="1" t="s">
        <v>355</v>
      </c>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row>
    <row r="84" spans="1:52">
      <c r="A84" s="8" t="s">
        <v>108</v>
      </c>
      <c r="B84" s="2">
        <f>HYPERLINK("https://www.suredividend.com/sure-analysis-MNARF/","Morguard North American Residential Real Estate Investment Trust")</f>
        <v>0</v>
      </c>
      <c r="C84" s="1" t="s">
        <v>263</v>
      </c>
      <c r="D84" s="3">
        <v>12.42</v>
      </c>
      <c r="E84" s="3">
        <v>12.18</v>
      </c>
      <c r="F84" s="3">
        <v>11.25</v>
      </c>
      <c r="G84" s="4">
        <v>1.082666666666667</v>
      </c>
      <c r="H84" s="4">
        <v>0.04761904761904762</v>
      </c>
      <c r="I84" s="4">
        <v>-0.0157599187962999</v>
      </c>
      <c r="J84" s="4">
        <v>0.03</v>
      </c>
      <c r="K84" s="4">
        <v>0.0587883432633447</v>
      </c>
      <c r="L84" s="1" t="s">
        <v>269</v>
      </c>
      <c r="M84" s="5">
        <v>9.744</v>
      </c>
      <c r="N84" s="3">
        <v>1.25</v>
      </c>
      <c r="O84" s="3">
        <v>0.58</v>
      </c>
      <c r="P84" s="4">
        <v>0.464</v>
      </c>
      <c r="Q84" s="1">
        <v>4</v>
      </c>
      <c r="R84" s="4">
        <v>0.02927011184548056</v>
      </c>
      <c r="T84" s="1" t="s">
        <v>335</v>
      </c>
      <c r="U84" s="1" t="s">
        <v>338</v>
      </c>
      <c r="V84" s="1" t="s">
        <v>341</v>
      </c>
      <c r="W84" s="6" t="s">
        <v>350</v>
      </c>
      <c r="Y84" s="10">
        <v>46146</v>
      </c>
      <c r="Z84" s="1" t="s">
        <v>358</v>
      </c>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row>
    <row r="85" spans="1:52">
      <c r="A85" s="8" t="s">
        <v>109</v>
      </c>
      <c r="B85" s="2">
        <f>HYPERLINK("https://www.suredividend.com/sure-analysis-SR/","Spire Inc.")</f>
        <v>0</v>
      </c>
      <c r="C85" s="1" t="s">
        <v>263</v>
      </c>
      <c r="D85" s="3">
        <v>80</v>
      </c>
      <c r="E85" s="3">
        <v>78.97</v>
      </c>
      <c r="F85" s="3">
        <v>65</v>
      </c>
      <c r="G85" s="4">
        <v>1.214923076923077</v>
      </c>
      <c r="H85" s="4">
        <v>0.04178802076738002</v>
      </c>
      <c r="I85" s="4">
        <v>-0.03818788372916271</v>
      </c>
      <c r="J85" s="4">
        <v>0.05</v>
      </c>
      <c r="K85" s="4">
        <v>0.05271910086833453</v>
      </c>
      <c r="L85" s="1" t="s">
        <v>269</v>
      </c>
      <c r="M85" s="5">
        <v>19.5470297029703</v>
      </c>
      <c r="N85" s="3">
        <v>4.04</v>
      </c>
      <c r="O85" s="3">
        <v>3.3</v>
      </c>
      <c r="P85" s="4">
        <v>0.8168316831683168</v>
      </c>
      <c r="Q85" s="1">
        <v>23</v>
      </c>
      <c r="R85" s="4">
        <v>0.04991376879974663</v>
      </c>
      <c r="S85" s="1" t="s">
        <v>311</v>
      </c>
      <c r="T85" s="1" t="s">
        <v>332</v>
      </c>
      <c r="U85" s="1" t="s">
        <v>336</v>
      </c>
      <c r="V85" s="1" t="s">
        <v>340</v>
      </c>
      <c r="W85" s="6" t="s">
        <v>349</v>
      </c>
      <c r="X85" s="7">
        <v>4845.861157</v>
      </c>
      <c r="Y85" s="10">
        <v>46182</v>
      </c>
      <c r="Z85" s="1" t="s">
        <v>359</v>
      </c>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row>
    <row r="86" spans="1:52">
      <c r="A86" s="8" t="s">
        <v>110</v>
      </c>
      <c r="B86" s="2">
        <f>HYPERLINK("https://www.suredividend.com/sure-analysis-BTI/","British American Tobacco Plc")</f>
        <v>0</v>
      </c>
      <c r="C86" s="1" t="s">
        <v>263</v>
      </c>
      <c r="D86" s="3">
        <v>59</v>
      </c>
      <c r="E86" s="3">
        <v>62.93</v>
      </c>
      <c r="F86" s="3">
        <v>45</v>
      </c>
      <c r="G86" s="4">
        <v>1.398444444444444</v>
      </c>
      <c r="H86" s="4">
        <v>0.05307484506594629</v>
      </c>
      <c r="I86" s="4">
        <v>-0.06487222525944636</v>
      </c>
      <c r="J86" s="4">
        <v>0.03</v>
      </c>
      <c r="K86" s="4">
        <v>0.02124065068699821</v>
      </c>
      <c r="L86" s="1" t="s">
        <v>269</v>
      </c>
      <c r="M86" s="5">
        <v>12.71313131313131</v>
      </c>
      <c r="N86" s="3">
        <v>4.95</v>
      </c>
      <c r="O86" s="3">
        <v>3.34</v>
      </c>
      <c r="P86" s="4">
        <v>0.6747474747474747</v>
      </c>
      <c r="Q86" s="1">
        <v>26</v>
      </c>
      <c r="R86" s="4">
        <v>0.02013108139690778</v>
      </c>
      <c r="S86" s="1" t="s">
        <v>309</v>
      </c>
      <c r="T86" s="1" t="s">
        <v>332</v>
      </c>
      <c r="U86" s="1" t="s">
        <v>336</v>
      </c>
      <c r="V86" s="1" t="s">
        <v>341</v>
      </c>
      <c r="W86" s="6" t="s">
        <v>343</v>
      </c>
      <c r="X86" s="7">
        <v>153489.479394</v>
      </c>
      <c r="Y86" s="10">
        <v>46101</v>
      </c>
      <c r="Z86" s="1" t="s">
        <v>361</v>
      </c>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row>
    <row r="87" spans="1:52">
      <c r="A87" s="8" t="s">
        <v>111</v>
      </c>
      <c r="B87" s="2">
        <f>HYPERLINK("https://www.suredividend.com/sure-analysis-APLO/","Apollo Bancorp, Inc.")</f>
        <v>0</v>
      </c>
      <c r="C87" s="1" t="s">
        <v>263</v>
      </c>
      <c r="D87" s="3">
        <v>55</v>
      </c>
      <c r="E87" s="3">
        <v>54</v>
      </c>
      <c r="F87" s="3">
        <v>43</v>
      </c>
      <c r="G87" s="4">
        <v>1.255813953488372</v>
      </c>
      <c r="H87" s="4">
        <v>0.04296296296296296</v>
      </c>
      <c r="I87" s="4">
        <v>-0.0445346561900053</v>
      </c>
      <c r="J87" s="4">
        <v>0.02</v>
      </c>
      <c r="K87" s="4">
        <v>0.02056621009960202</v>
      </c>
      <c r="L87" s="1" t="s">
        <v>269</v>
      </c>
      <c r="M87" s="5">
        <v>12.55813953488372</v>
      </c>
      <c r="N87" s="3">
        <v>4.3</v>
      </c>
      <c r="O87" s="3">
        <v>2.32</v>
      </c>
      <c r="P87" s="4">
        <v>0.5395348837209302</v>
      </c>
      <c r="Q87" s="1">
        <v>17</v>
      </c>
      <c r="R87" s="4">
        <v>0.01988310171094443</v>
      </c>
      <c r="T87" s="1" t="s">
        <v>332</v>
      </c>
      <c r="U87" s="1" t="s">
        <v>336</v>
      </c>
      <c r="V87" s="1" t="s">
        <v>340</v>
      </c>
      <c r="W87" s="6" t="s">
        <v>342</v>
      </c>
      <c r="Y87" s="10">
        <v>46128</v>
      </c>
      <c r="Z87" s="1" t="s">
        <v>358</v>
      </c>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row>
    <row r="88" spans="1:52">
      <c r="A88" s="8" t="s">
        <v>112</v>
      </c>
      <c r="B88" s="2">
        <f>HYPERLINK("https://www.suredividend.com/sure-analysis-LWSCF/","Sienna Senior Living Inc.")</f>
        <v>0</v>
      </c>
      <c r="C88" s="1" t="s">
        <v>264</v>
      </c>
      <c r="D88" s="3">
        <v>16.79</v>
      </c>
      <c r="E88" s="3">
        <v>15.55</v>
      </c>
      <c r="F88" s="3">
        <v>12.36</v>
      </c>
      <c r="G88" s="4">
        <v>1.258090614886731</v>
      </c>
      <c r="H88" s="4">
        <v>0.04437299035369775</v>
      </c>
      <c r="I88" s="4">
        <v>-0.04488071192147902</v>
      </c>
      <c r="J88" s="4">
        <v>16.93</v>
      </c>
      <c r="K88" s="4">
        <v>16.12528935114969</v>
      </c>
      <c r="L88" s="1" t="s">
        <v>270</v>
      </c>
      <c r="M88" s="5">
        <v>15.09708737864078</v>
      </c>
      <c r="N88" s="3">
        <v>1.03</v>
      </c>
      <c r="O88" s="3">
        <v>0.6899999999999999</v>
      </c>
      <c r="P88" s="4">
        <v>0.6699029126213591</v>
      </c>
      <c r="Q88" s="1">
        <v>0</v>
      </c>
      <c r="R88" s="4">
        <v>0</v>
      </c>
      <c r="T88" s="1" t="s">
        <v>335</v>
      </c>
      <c r="U88" s="1" t="s">
        <v>336</v>
      </c>
      <c r="V88" s="1" t="s">
        <v>341</v>
      </c>
      <c r="W88" s="6" t="s">
        <v>348</v>
      </c>
      <c r="Y88" s="10">
        <v>46154</v>
      </c>
      <c r="Z88" s="1" t="s">
        <v>358</v>
      </c>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row>
    <row r="89" spans="1:52">
      <c r="A89" s="8" t="s">
        <v>113</v>
      </c>
      <c r="B89" s="2">
        <f>HYPERLINK("https://www.suredividend.com/sure-analysis-OWL/","Blue Owl Capital Inc")</f>
        <v>0</v>
      </c>
      <c r="C89" s="1" t="s">
        <v>263</v>
      </c>
      <c r="D89" s="3">
        <v>9.59</v>
      </c>
      <c r="E89" s="3">
        <v>8.44</v>
      </c>
      <c r="F89" s="3">
        <v>15.84</v>
      </c>
      <c r="G89" s="4">
        <v>0.5328282828282828</v>
      </c>
      <c r="H89" s="4">
        <v>0.1090047393364929</v>
      </c>
      <c r="I89" s="4">
        <v>0.1341814661414731</v>
      </c>
      <c r="J89" s="4">
        <v>0.13</v>
      </c>
      <c r="K89" s="4">
        <v>0.3297427720024098</v>
      </c>
      <c r="L89" s="1" t="s">
        <v>270</v>
      </c>
      <c r="M89" s="5">
        <v>9.59090909090909</v>
      </c>
      <c r="N89" s="3">
        <v>0.88</v>
      </c>
      <c r="O89" s="3">
        <v>0.92</v>
      </c>
      <c r="P89" s="4">
        <v>1.045454545454545</v>
      </c>
      <c r="Q89" s="1">
        <v>5</v>
      </c>
      <c r="R89" s="4">
        <v>0.08447177119769855</v>
      </c>
      <c r="S89" s="1" t="s">
        <v>273</v>
      </c>
      <c r="T89" s="1" t="s">
        <v>332</v>
      </c>
      <c r="U89" s="1" t="s">
        <v>336</v>
      </c>
      <c r="V89" s="1" t="s">
        <v>340</v>
      </c>
      <c r="W89" s="6" t="s">
        <v>342</v>
      </c>
      <c r="X89" s="7">
        <v>13220.74662</v>
      </c>
      <c r="Y89" s="10">
        <v>46196</v>
      </c>
      <c r="Z89" s="1" t="s">
        <v>357</v>
      </c>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row>
    <row r="90" spans="1:52">
      <c r="A90" s="8" t="s">
        <v>114</v>
      </c>
      <c r="B90" s="2">
        <f>HYPERLINK("https://www.suredividend.com/sure-analysis-PNNT/","PennantPark Investment Corporation")</f>
        <v>0</v>
      </c>
      <c r="C90" s="1" t="s">
        <v>263</v>
      </c>
      <c r="D90" s="3">
        <v>4.57</v>
      </c>
      <c r="E90" s="3">
        <v>3.32</v>
      </c>
      <c r="F90" s="3">
        <v>4.8</v>
      </c>
      <c r="G90" s="4">
        <v>0.6916666666666667</v>
      </c>
      <c r="H90" s="4">
        <v>0.2891566265060241</v>
      </c>
      <c r="I90" s="4">
        <v>0.07651635127086265</v>
      </c>
      <c r="J90" s="4">
        <v>-0.03</v>
      </c>
      <c r="K90" s="4">
        <v>0.2066619821081688</v>
      </c>
      <c r="L90" s="1" t="s">
        <v>270</v>
      </c>
      <c r="M90" s="5">
        <v>3.458333333333333</v>
      </c>
      <c r="N90" s="3">
        <v>0.96</v>
      </c>
      <c r="O90" s="3">
        <v>0.96</v>
      </c>
      <c r="P90" s="4">
        <v>1</v>
      </c>
      <c r="Q90" s="1">
        <v>5</v>
      </c>
      <c r="R90" s="4">
        <v>-0.03103403237747426</v>
      </c>
      <c r="S90" s="1" t="s">
        <v>282</v>
      </c>
      <c r="T90" s="1" t="s">
        <v>335</v>
      </c>
      <c r="U90" s="1" t="s">
        <v>339</v>
      </c>
      <c r="V90" s="1" t="s">
        <v>340</v>
      </c>
      <c r="W90" s="6" t="s">
        <v>342</v>
      </c>
      <c r="X90" s="7">
        <v>216.130071</v>
      </c>
      <c r="Y90" s="10">
        <v>46152</v>
      </c>
      <c r="Z90" s="1" t="s">
        <v>358</v>
      </c>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row>
    <row r="91" spans="1:52">
      <c r="A91" s="8" t="s">
        <v>115</v>
      </c>
      <c r="B91" s="2">
        <f>HYPERLINK("https://www.suredividend.com/sure-analysis-EARN/","Ellington Credit Co.")</f>
        <v>0</v>
      </c>
      <c r="C91" s="1" t="s">
        <v>264</v>
      </c>
      <c r="D91" s="3">
        <v>4.83</v>
      </c>
      <c r="E91" s="3">
        <v>4.5</v>
      </c>
      <c r="F91" s="3">
        <v>5.6</v>
      </c>
      <c r="G91" s="4">
        <v>0.8035714285714286</v>
      </c>
      <c r="H91" s="4">
        <v>0.2133333333333333</v>
      </c>
      <c r="I91" s="4">
        <v>0.04470843842244498</v>
      </c>
      <c r="J91" s="4">
        <v>0.03</v>
      </c>
      <c r="K91" s="4">
        <v>0.2020185495172206</v>
      </c>
      <c r="L91" s="1" t="s">
        <v>270</v>
      </c>
      <c r="M91" s="5">
        <v>5.625</v>
      </c>
      <c r="N91" s="3">
        <v>0.8</v>
      </c>
      <c r="O91" s="3">
        <v>0.96</v>
      </c>
      <c r="P91" s="4">
        <v>1.2</v>
      </c>
      <c r="Q91" s="1">
        <v>0</v>
      </c>
      <c r="R91" s="4">
        <v>0</v>
      </c>
      <c r="S91" s="1" t="s">
        <v>313</v>
      </c>
      <c r="T91" s="1" t="s">
        <v>335</v>
      </c>
      <c r="U91" s="1" t="s">
        <v>338</v>
      </c>
      <c r="V91" s="1" t="s">
        <v>340</v>
      </c>
      <c r="W91" s="6" t="s">
        <v>350</v>
      </c>
      <c r="X91" s="7">
        <v>168.640786</v>
      </c>
      <c r="Y91" s="10">
        <v>46168</v>
      </c>
      <c r="Z91" s="1" t="s">
        <v>354</v>
      </c>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row>
    <row r="92" spans="1:52">
      <c r="A92" s="8" t="s">
        <v>116</v>
      </c>
      <c r="B92" s="2">
        <f>HYPERLINK("https://www.suredividend.com/sure-analysis-TU/","Telus Corp.")</f>
        <v>0</v>
      </c>
      <c r="C92" s="1" t="s">
        <v>263</v>
      </c>
      <c r="D92" s="3">
        <v>13</v>
      </c>
      <c r="E92" s="3">
        <v>11.12</v>
      </c>
      <c r="F92" s="3">
        <v>13</v>
      </c>
      <c r="G92" s="4">
        <v>0.8553846153846153</v>
      </c>
      <c r="H92" s="4">
        <v>0.1106115107913669</v>
      </c>
      <c r="I92" s="4">
        <v>0.03173392966687461</v>
      </c>
      <c r="J92" s="4">
        <v>0.1</v>
      </c>
      <c r="K92" s="4">
        <v>0.1948958083031029</v>
      </c>
      <c r="L92" s="1" t="s">
        <v>270</v>
      </c>
      <c r="M92" s="5">
        <v>14.82666666666667</v>
      </c>
      <c r="N92" s="3">
        <v>0.75</v>
      </c>
      <c r="O92" s="3">
        <v>1.23</v>
      </c>
      <c r="P92" s="4">
        <v>1.64</v>
      </c>
      <c r="Q92" s="1">
        <v>22</v>
      </c>
      <c r="R92" s="4">
        <v>0</v>
      </c>
      <c r="S92" s="1" t="s">
        <v>295</v>
      </c>
      <c r="T92" s="1" t="s">
        <v>332</v>
      </c>
      <c r="U92" s="1" t="s">
        <v>336</v>
      </c>
      <c r="V92" s="1" t="s">
        <v>341</v>
      </c>
      <c r="W92" s="6" t="s">
        <v>346</v>
      </c>
      <c r="X92" s="7">
        <v>17159.112724</v>
      </c>
      <c r="Y92" s="10">
        <v>46155</v>
      </c>
      <c r="Z92" s="1" t="s">
        <v>362</v>
      </c>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row>
    <row r="93" spans="1:52">
      <c r="A93" s="8" t="s">
        <v>117</v>
      </c>
      <c r="B93" s="2">
        <f>HYPERLINK("https://www.suredividend.com/sure-analysis-NSP/","Insperity Inc")</f>
        <v>0</v>
      </c>
      <c r="C93" s="1" t="s">
        <v>263</v>
      </c>
      <c r="D93" s="3">
        <v>33</v>
      </c>
      <c r="E93" s="3">
        <v>38.43</v>
      </c>
      <c r="F93" s="3">
        <v>34</v>
      </c>
      <c r="G93" s="4">
        <v>1.130294117647059</v>
      </c>
      <c r="H93" s="4">
        <v>0.0624512099921936</v>
      </c>
      <c r="I93" s="4">
        <v>-0.02419799413537682</v>
      </c>
      <c r="J93" s="4">
        <v>0.18</v>
      </c>
      <c r="K93" s="4">
        <v>0.1899795498943093</v>
      </c>
      <c r="L93" s="1" t="s">
        <v>270</v>
      </c>
      <c r="M93" s="5">
        <v>18.3</v>
      </c>
      <c r="N93" s="3">
        <v>2.1</v>
      </c>
      <c r="O93" s="3">
        <v>2.4</v>
      </c>
      <c r="P93" s="4">
        <v>1.142857142857143</v>
      </c>
      <c r="Q93" s="1">
        <v>17</v>
      </c>
      <c r="R93" s="4">
        <v>0.04978904632428516</v>
      </c>
      <c r="S93" s="1" t="s">
        <v>314</v>
      </c>
      <c r="T93" s="1" t="s">
        <v>332</v>
      </c>
      <c r="U93" s="1" t="s">
        <v>336</v>
      </c>
      <c r="V93" s="1" t="s">
        <v>340</v>
      </c>
      <c r="W93" s="6" t="s">
        <v>342</v>
      </c>
      <c r="X93" s="7">
        <v>1466.078281</v>
      </c>
      <c r="Y93" s="10">
        <v>46149</v>
      </c>
      <c r="Z93" s="1" t="s">
        <v>354</v>
      </c>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row>
    <row r="94" spans="1:52">
      <c r="A94" s="8" t="s">
        <v>118</v>
      </c>
      <c r="B94" s="2">
        <f>HYPERLINK("https://www.suredividend.com/sure-analysis-SSTK/","Shutterstock, Inc.")</f>
        <v>0</v>
      </c>
      <c r="C94" s="1" t="s">
        <v>263</v>
      </c>
      <c r="D94" s="3">
        <v>16</v>
      </c>
      <c r="E94" s="3">
        <v>13.92</v>
      </c>
      <c r="F94" s="3">
        <v>20</v>
      </c>
      <c r="G94" s="4">
        <v>0.696</v>
      </c>
      <c r="H94" s="4">
        <v>0.103448275862069</v>
      </c>
      <c r="I94" s="4">
        <v>0.07517251065150599</v>
      </c>
      <c r="J94" s="4">
        <v>0.05</v>
      </c>
      <c r="K94" s="4">
        <v>0.1896533369468849</v>
      </c>
      <c r="L94" s="1" t="s">
        <v>270</v>
      </c>
      <c r="M94" s="5">
        <v>5.568</v>
      </c>
      <c r="N94" s="3">
        <v>2.5</v>
      </c>
      <c r="O94" s="3">
        <v>1.44</v>
      </c>
      <c r="P94" s="4">
        <v>0.576</v>
      </c>
      <c r="Q94" s="1">
        <v>5</v>
      </c>
      <c r="R94" s="4">
        <v>0.02001586442069092</v>
      </c>
      <c r="S94" s="1" t="s">
        <v>314</v>
      </c>
      <c r="T94" s="1" t="s">
        <v>332</v>
      </c>
      <c r="U94" s="1" t="s">
        <v>336</v>
      </c>
      <c r="V94" s="1" t="s">
        <v>340</v>
      </c>
      <c r="W94" s="6" t="s">
        <v>346</v>
      </c>
      <c r="X94" s="7">
        <v>510.658395</v>
      </c>
      <c r="Y94" s="10">
        <v>46147</v>
      </c>
      <c r="Z94" s="1" t="s">
        <v>354</v>
      </c>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row>
    <row r="95" spans="1:52">
      <c r="A95" s="8" t="s">
        <v>119</v>
      </c>
      <c r="B95" s="2">
        <f>HYPERLINK("https://www.suredividend.com/sure-analysis-CION/","CION Investment Corporation")</f>
        <v>0</v>
      </c>
      <c r="C95" s="1" t="s">
        <v>264</v>
      </c>
      <c r="D95" s="3">
        <v>6.73</v>
      </c>
      <c r="E95" s="3">
        <v>6</v>
      </c>
      <c r="F95" s="3">
        <v>11.8</v>
      </c>
      <c r="G95" s="4">
        <v>0.5084745762711864</v>
      </c>
      <c r="H95" s="4">
        <v>0.2</v>
      </c>
      <c r="I95" s="4">
        <v>0.1448435755676265</v>
      </c>
      <c r="J95" s="4">
        <v>-0.05</v>
      </c>
      <c r="K95" s="4">
        <v>0.1895840804818292</v>
      </c>
      <c r="L95" s="1" t="s">
        <v>270</v>
      </c>
      <c r="M95" s="5">
        <v>3.409090909090909</v>
      </c>
      <c r="N95" s="3">
        <v>1.76</v>
      </c>
      <c r="O95" s="3">
        <v>1.2</v>
      </c>
      <c r="P95" s="4">
        <v>0.6818181818181818</v>
      </c>
      <c r="Q95" s="1">
        <v>0</v>
      </c>
      <c r="R95" s="4">
        <v>-0.04970085067101349</v>
      </c>
      <c r="T95" s="1" t="s">
        <v>335</v>
      </c>
      <c r="U95" s="1" t="s">
        <v>336</v>
      </c>
      <c r="V95" s="1" t="s">
        <v>340</v>
      </c>
      <c r="W95" s="6" t="s">
        <v>342</v>
      </c>
      <c r="X95" s="7">
        <v>0</v>
      </c>
      <c r="Y95" s="10">
        <v>46161</v>
      </c>
      <c r="Z95" s="1" t="s">
        <v>358</v>
      </c>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row>
    <row r="96" spans="1:52">
      <c r="A96" s="8" t="s">
        <v>120</v>
      </c>
      <c r="B96" s="2">
        <f>HYPERLINK("https://www.suredividend.com/sure-analysis-BAM/","Brookfield Asset Management Ltd")</f>
        <v>0</v>
      </c>
      <c r="C96" s="1" t="s">
        <v>263</v>
      </c>
      <c r="D96" s="3">
        <v>48</v>
      </c>
      <c r="E96" s="3">
        <v>44.68</v>
      </c>
      <c r="F96" s="3">
        <v>46</v>
      </c>
      <c r="G96" s="4">
        <v>0.971304347826087</v>
      </c>
      <c r="H96" s="4">
        <v>0.04498657117278424</v>
      </c>
      <c r="I96" s="4">
        <v>0.005840071570377026</v>
      </c>
      <c r="J96" s="4">
        <v>0.15</v>
      </c>
      <c r="K96" s="4">
        <v>0.1837637476317062</v>
      </c>
      <c r="L96" s="1" t="s">
        <v>270</v>
      </c>
      <c r="M96" s="5">
        <v>24.15135135135135</v>
      </c>
      <c r="N96" s="3">
        <v>1.85</v>
      </c>
      <c r="O96" s="3">
        <v>2.01</v>
      </c>
      <c r="P96" s="4">
        <v>1.086486486486486</v>
      </c>
      <c r="Q96" s="1">
        <v>14</v>
      </c>
      <c r="R96" s="4">
        <v>0.04038481641411917</v>
      </c>
      <c r="S96" s="1" t="s">
        <v>287</v>
      </c>
      <c r="T96" s="1" t="s">
        <v>332</v>
      </c>
      <c r="U96" s="1" t="s">
        <v>336</v>
      </c>
      <c r="V96" s="1" t="s">
        <v>341</v>
      </c>
      <c r="W96" s="6" t="s">
        <v>342</v>
      </c>
      <c r="X96" s="7">
        <v>71312.482187</v>
      </c>
      <c r="Y96" s="10">
        <v>46170</v>
      </c>
      <c r="Z96" s="1" t="s">
        <v>353</v>
      </c>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row>
    <row r="97" spans="1:52">
      <c r="A97" s="8" t="s">
        <v>121</v>
      </c>
      <c r="B97" s="2">
        <f>HYPERLINK("https://www.suredividend.com/sure-analysis-NXRT/","NexPoint Residential Trust Inc")</f>
        <v>0</v>
      </c>
      <c r="C97" s="1" t="s">
        <v>263</v>
      </c>
      <c r="D97" s="3">
        <v>28</v>
      </c>
      <c r="E97" s="3">
        <v>27.315</v>
      </c>
      <c r="F97" s="3">
        <v>42</v>
      </c>
      <c r="G97" s="4">
        <v>0.6503571428571429</v>
      </c>
      <c r="H97" s="4">
        <v>0.07761303313197877</v>
      </c>
      <c r="I97" s="4">
        <v>0.08985724882870816</v>
      </c>
      <c r="J97" s="4">
        <v>0.04</v>
      </c>
      <c r="K97" s="4">
        <v>0.1820818933919706</v>
      </c>
      <c r="L97" s="1" t="s">
        <v>270</v>
      </c>
      <c r="M97" s="5">
        <v>9.135451505016722</v>
      </c>
      <c r="N97" s="3">
        <v>2.99</v>
      </c>
      <c r="O97" s="3">
        <v>2.12</v>
      </c>
      <c r="P97" s="4">
        <v>0.7090301003344481</v>
      </c>
      <c r="Q97" s="1">
        <v>10</v>
      </c>
      <c r="R97" s="4">
        <v>0.04005610836598383</v>
      </c>
      <c r="S97" s="1" t="s">
        <v>282</v>
      </c>
      <c r="T97" s="1" t="s">
        <v>332</v>
      </c>
      <c r="U97" s="1" t="s">
        <v>338</v>
      </c>
      <c r="V97" s="1" t="s">
        <v>340</v>
      </c>
      <c r="W97" s="6" t="s">
        <v>350</v>
      </c>
      <c r="X97" s="7">
        <v>696.171199</v>
      </c>
      <c r="Y97" s="10">
        <v>46141</v>
      </c>
      <c r="Z97" s="1" t="s">
        <v>358</v>
      </c>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row>
    <row r="98" spans="1:52">
      <c r="A98" s="8" t="s">
        <v>122</v>
      </c>
      <c r="B98" s="2">
        <f>HYPERLINK("https://www.suredividend.com/sure-analysis-SAMG/","Silvercrest Asset Management Group Inc")</f>
        <v>0</v>
      </c>
      <c r="C98" s="1" t="s">
        <v>263</v>
      </c>
      <c r="D98" s="3">
        <v>10.93</v>
      </c>
      <c r="E98" s="3">
        <v>10.3</v>
      </c>
      <c r="F98" s="3">
        <v>7.65</v>
      </c>
      <c r="G98" s="4">
        <v>1.34640522875817</v>
      </c>
      <c r="H98" s="4">
        <v>0.08155339805825242</v>
      </c>
      <c r="I98" s="4">
        <v>-0.0577528292375673</v>
      </c>
      <c r="J98" s="4">
        <v>0.2</v>
      </c>
      <c r="K98" s="4">
        <v>0.1819741429060049</v>
      </c>
      <c r="L98" s="1" t="s">
        <v>270</v>
      </c>
      <c r="M98" s="5">
        <v>20.19607843137255</v>
      </c>
      <c r="N98" s="3">
        <v>0.51</v>
      </c>
      <c r="O98" s="3">
        <v>0.84</v>
      </c>
      <c r="P98" s="4">
        <v>1.647058823529412</v>
      </c>
      <c r="Q98" s="1">
        <v>8</v>
      </c>
      <c r="R98" s="4">
        <v>0.03959498820755258</v>
      </c>
      <c r="S98" s="1" t="s">
        <v>315</v>
      </c>
      <c r="T98" s="1" t="s">
        <v>332</v>
      </c>
      <c r="U98" s="1" t="s">
        <v>336</v>
      </c>
      <c r="V98" s="1" t="s">
        <v>340</v>
      </c>
      <c r="W98" s="6" t="s">
        <v>342</v>
      </c>
      <c r="X98" s="7">
        <v>122.268955</v>
      </c>
      <c r="Y98" s="10">
        <v>46187</v>
      </c>
      <c r="Z98" s="1" t="s">
        <v>357</v>
      </c>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row>
    <row r="99" spans="1:52">
      <c r="A99" s="8" t="s">
        <v>123</v>
      </c>
      <c r="B99" s="2">
        <f>HYPERLINK("https://www.suredividend.com/sure-analysis-GIS/","General Mills, Inc.")</f>
        <v>0</v>
      </c>
      <c r="C99" s="1" t="s">
        <v>263</v>
      </c>
      <c r="D99" s="3">
        <v>38</v>
      </c>
      <c r="E99" s="3">
        <v>35.62</v>
      </c>
      <c r="F99" s="3">
        <v>56</v>
      </c>
      <c r="G99" s="4">
        <v>0.6360714285714285</v>
      </c>
      <c r="H99" s="4">
        <v>0.06850084222346997</v>
      </c>
      <c r="I99" s="4">
        <v>0.09470933722474228</v>
      </c>
      <c r="J99" s="4">
        <v>0.04</v>
      </c>
      <c r="K99" s="4">
        <v>0.1797184269789793</v>
      </c>
      <c r="L99" s="1" t="s">
        <v>270</v>
      </c>
      <c r="M99" s="5">
        <v>10.32463768115942</v>
      </c>
      <c r="N99" s="3">
        <v>3.45</v>
      </c>
      <c r="O99" s="3">
        <v>2.44</v>
      </c>
      <c r="P99" s="4">
        <v>0.7072463768115942</v>
      </c>
      <c r="Q99" s="1">
        <v>6</v>
      </c>
      <c r="R99" s="4">
        <v>0.02790656782757628</v>
      </c>
      <c r="S99" s="1" t="s">
        <v>316</v>
      </c>
      <c r="T99" s="1" t="s">
        <v>332</v>
      </c>
      <c r="U99" s="1" t="s">
        <v>336</v>
      </c>
      <c r="V99" s="1" t="s">
        <v>340</v>
      </c>
      <c r="W99" s="6" t="s">
        <v>343</v>
      </c>
      <c r="X99" s="7">
        <v>18892.315117</v>
      </c>
      <c r="Y99" s="10">
        <v>46100</v>
      </c>
      <c r="Z99" s="1" t="s">
        <v>362</v>
      </c>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row>
    <row r="100" spans="1:52">
      <c r="A100" s="8" t="s">
        <v>124</v>
      </c>
      <c r="B100" s="2">
        <f>HYPERLINK("https://www.suredividend.com/sure-analysis-ARES/","Ares Management Corporation")</f>
        <v>0</v>
      </c>
      <c r="C100" s="1" t="s">
        <v>263</v>
      </c>
      <c r="D100" s="3">
        <v>123</v>
      </c>
      <c r="E100" s="3">
        <v>112.59</v>
      </c>
      <c r="F100" s="3">
        <v>128</v>
      </c>
      <c r="G100" s="4">
        <v>0.879609375</v>
      </c>
      <c r="H100" s="4">
        <v>0.04796163069544365</v>
      </c>
      <c r="I100" s="4">
        <v>0.02598740661710641</v>
      </c>
      <c r="J100" s="4">
        <v>0.12</v>
      </c>
      <c r="K100" s="4">
        <v>0.1796655679471313</v>
      </c>
      <c r="L100" s="1" t="s">
        <v>270</v>
      </c>
      <c r="M100" s="5">
        <v>17.5921875</v>
      </c>
      <c r="N100" s="3">
        <v>6.4</v>
      </c>
      <c r="O100" s="3">
        <v>5.4</v>
      </c>
      <c r="P100" s="4">
        <v>0.84375</v>
      </c>
      <c r="Q100" s="1">
        <v>8</v>
      </c>
      <c r="R100" s="4">
        <v>0.05327276858309049</v>
      </c>
      <c r="S100" s="1" t="s">
        <v>286</v>
      </c>
      <c r="T100" s="1" t="s">
        <v>332</v>
      </c>
      <c r="U100" s="1" t="s">
        <v>336</v>
      </c>
      <c r="V100" s="1" t="s">
        <v>340</v>
      </c>
      <c r="W100" s="6" t="s">
        <v>342</v>
      </c>
      <c r="X100" s="7">
        <v>40472.062496</v>
      </c>
      <c r="Y100" s="10">
        <v>46150</v>
      </c>
      <c r="Z100" s="1" t="s">
        <v>362</v>
      </c>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row>
    <row r="101" spans="1:52">
      <c r="A101" s="8" t="s">
        <v>125</v>
      </c>
      <c r="B101" s="2">
        <f>HYPERLINK("https://www.suredividend.com/sure-analysis-OXSQ/","Oxford Square Capital Corp.")</f>
        <v>0</v>
      </c>
      <c r="C101" s="1" t="s">
        <v>264</v>
      </c>
      <c r="D101" s="3">
        <v>1.95</v>
      </c>
      <c r="E101" s="3">
        <v>1.34</v>
      </c>
      <c r="F101" s="3">
        <v>1.5</v>
      </c>
      <c r="G101" s="4">
        <v>0.8933333333333334</v>
      </c>
      <c r="H101" s="4">
        <v>0.3134328358208955</v>
      </c>
      <c r="I101" s="4">
        <v>0.02281547957549823</v>
      </c>
      <c r="J101" s="4">
        <v>0</v>
      </c>
      <c r="K101" s="4">
        <v>0.1791743652313482</v>
      </c>
      <c r="L101" s="1" t="s">
        <v>270</v>
      </c>
      <c r="M101" s="5">
        <v>4.466666666666667</v>
      </c>
      <c r="N101" s="3">
        <v>0.3</v>
      </c>
      <c r="O101" s="3">
        <v>0.42</v>
      </c>
      <c r="P101" s="4">
        <v>1.4</v>
      </c>
      <c r="Q101" s="1">
        <v>0</v>
      </c>
      <c r="R101" s="4">
        <v>-0.0985572635745805</v>
      </c>
      <c r="S101" s="1" t="s">
        <v>286</v>
      </c>
      <c r="T101" s="1" t="s">
        <v>335</v>
      </c>
      <c r="U101" s="1" t="s">
        <v>336</v>
      </c>
      <c r="V101" s="1" t="s">
        <v>340</v>
      </c>
      <c r="W101" s="6" t="s">
        <v>342</v>
      </c>
      <c r="X101" s="7">
        <v>117.409889</v>
      </c>
      <c r="Y101" s="10">
        <v>46146</v>
      </c>
      <c r="Z101" s="1" t="s">
        <v>358</v>
      </c>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row>
    <row r="102" spans="1:52">
      <c r="A102" s="8" t="s">
        <v>126</v>
      </c>
      <c r="B102" s="2">
        <f>HYPERLINK("https://www.suredividend.com/sure-analysis-VICI/","VICI Properties Inc")</f>
        <v>0</v>
      </c>
      <c r="C102" s="1" t="s">
        <v>263</v>
      </c>
      <c r="D102" s="3">
        <v>28.9999</v>
      </c>
      <c r="E102" s="3">
        <v>26.68</v>
      </c>
      <c r="F102" s="3">
        <v>37</v>
      </c>
      <c r="G102" s="4">
        <v>0.721081081081081</v>
      </c>
      <c r="H102" s="4">
        <v>0.06746626686656672</v>
      </c>
      <c r="I102" s="4">
        <v>0.06758676159773636</v>
      </c>
      <c r="J102" s="4">
        <v>0.05</v>
      </c>
      <c r="K102" s="4">
        <v>0.1655491278118171</v>
      </c>
      <c r="L102" s="1" t="s">
        <v>270</v>
      </c>
      <c r="M102" s="5">
        <v>10.84552845528455</v>
      </c>
      <c r="N102" s="3">
        <v>2.46</v>
      </c>
      <c r="O102" s="3">
        <v>1.8</v>
      </c>
      <c r="P102" s="4">
        <v>0.7317073170731707</v>
      </c>
      <c r="Q102" s="1">
        <v>8</v>
      </c>
      <c r="R102" s="4">
        <v>0.04095039696925684</v>
      </c>
      <c r="S102" s="1" t="s">
        <v>300</v>
      </c>
      <c r="T102" s="1" t="s">
        <v>332</v>
      </c>
      <c r="U102" s="1" t="s">
        <v>338</v>
      </c>
      <c r="V102" s="1" t="s">
        <v>340</v>
      </c>
      <c r="W102" s="6" t="s">
        <v>350</v>
      </c>
      <c r="X102" s="7">
        <v>28361.370861</v>
      </c>
      <c r="Y102" s="10">
        <v>46146</v>
      </c>
      <c r="Z102" s="1" t="s">
        <v>362</v>
      </c>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row>
    <row r="103" spans="1:52">
      <c r="A103" s="8" t="s">
        <v>127</v>
      </c>
      <c r="B103" s="2">
        <f>HYPERLINK("https://www.suredividend.com/sure-analysis-CHCT/","Community Healthcare Trust Inc")</f>
        <v>0</v>
      </c>
      <c r="C103" s="1" t="s">
        <v>263</v>
      </c>
      <c r="D103" s="3">
        <v>18</v>
      </c>
      <c r="E103" s="3">
        <v>18</v>
      </c>
      <c r="F103" s="3">
        <v>22</v>
      </c>
      <c r="G103" s="4">
        <v>0.8181818181818182</v>
      </c>
      <c r="H103" s="4">
        <v>0.1066666666666667</v>
      </c>
      <c r="I103" s="4">
        <v>0.04095039696925684</v>
      </c>
      <c r="J103" s="4">
        <v>0.05</v>
      </c>
      <c r="K103" s="4">
        <v>0.1626564396563208</v>
      </c>
      <c r="L103" s="1" t="s">
        <v>270</v>
      </c>
      <c r="M103" s="5">
        <v>8.780487804878049</v>
      </c>
      <c r="N103" s="3">
        <v>2.05</v>
      </c>
      <c r="O103" s="3">
        <v>1.92</v>
      </c>
      <c r="P103" s="4">
        <v>0.9365853658536586</v>
      </c>
      <c r="Q103" s="1">
        <v>11</v>
      </c>
      <c r="R103" s="4">
        <v>0.01905176452675894</v>
      </c>
      <c r="S103" s="1" t="s">
        <v>317</v>
      </c>
      <c r="T103" s="1" t="s">
        <v>332</v>
      </c>
      <c r="U103" s="1" t="s">
        <v>338</v>
      </c>
      <c r="V103" s="1" t="s">
        <v>340</v>
      </c>
      <c r="W103" s="6" t="s">
        <v>350</v>
      </c>
      <c r="X103" s="7">
        <v>513.149402</v>
      </c>
      <c r="Y103" s="10">
        <v>46163</v>
      </c>
      <c r="Z103" s="1" t="s">
        <v>354</v>
      </c>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row>
    <row r="104" spans="1:52">
      <c r="A104" s="8" t="s">
        <v>128</v>
      </c>
      <c r="B104" s="2">
        <f>HYPERLINK("https://www.suredividend.com/sure-analysis-PFLT/","PennantPark Floating Rate Capital Ltd")</f>
        <v>0</v>
      </c>
      <c r="C104" s="1" t="s">
        <v>264</v>
      </c>
      <c r="D104" s="3">
        <v>7.96</v>
      </c>
      <c r="E104" s="3">
        <v>7.27</v>
      </c>
      <c r="F104" s="3">
        <v>9.720000000000001</v>
      </c>
      <c r="G104" s="4">
        <v>0.7479423868312757</v>
      </c>
      <c r="H104" s="4">
        <v>0.1320495185694636</v>
      </c>
      <c r="I104" s="4">
        <v>0.05980599245347062</v>
      </c>
      <c r="J104" s="4">
        <v>0.01</v>
      </c>
      <c r="K104" s="4">
        <v>0.1561200025338791</v>
      </c>
      <c r="L104" s="1" t="s">
        <v>270</v>
      </c>
      <c r="M104" s="5">
        <v>6.731481481481481</v>
      </c>
      <c r="N104" s="3">
        <v>1.08</v>
      </c>
      <c r="O104" s="3">
        <v>0.96</v>
      </c>
      <c r="P104" s="4">
        <v>0.8888888888888888</v>
      </c>
      <c r="Q104" s="1">
        <v>0</v>
      </c>
      <c r="R104" s="4">
        <v>0</v>
      </c>
      <c r="S104" s="1" t="s">
        <v>282</v>
      </c>
      <c r="T104" s="1" t="s">
        <v>335</v>
      </c>
      <c r="U104" s="1" t="s">
        <v>339</v>
      </c>
      <c r="V104" s="1" t="s">
        <v>340</v>
      </c>
      <c r="W104" s="6" t="s">
        <v>342</v>
      </c>
      <c r="X104" s="7">
        <v>721.314104</v>
      </c>
      <c r="Y104" s="10">
        <v>46187</v>
      </c>
      <c r="Z104" s="1" t="s">
        <v>357</v>
      </c>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row>
    <row r="105" spans="1:52">
      <c r="A105" s="8" t="s">
        <v>129</v>
      </c>
      <c r="B105" s="2">
        <f>HYPERLINK("https://www.suredividend.com/sure-analysis-SAR/","Saratoga Investment Corp.")</f>
        <v>0</v>
      </c>
      <c r="C105" s="1" t="s">
        <v>263</v>
      </c>
      <c r="D105" s="3">
        <v>22.08</v>
      </c>
      <c r="E105" s="3">
        <v>22.075</v>
      </c>
      <c r="F105" s="3">
        <v>28</v>
      </c>
      <c r="G105" s="4">
        <v>0.7883928571428571</v>
      </c>
      <c r="H105" s="4">
        <v>0.1359003397508494</v>
      </c>
      <c r="I105" s="4">
        <v>0.04870047283671841</v>
      </c>
      <c r="J105" s="4">
        <v>0.01</v>
      </c>
      <c r="K105" s="4">
        <v>0.1524482566678516</v>
      </c>
      <c r="L105" s="1" t="s">
        <v>270</v>
      </c>
      <c r="M105" s="5">
        <v>6.58955223880597</v>
      </c>
      <c r="N105" s="3">
        <v>3.35</v>
      </c>
      <c r="O105" s="3">
        <v>3</v>
      </c>
      <c r="P105" s="4">
        <v>0.8955223880597015</v>
      </c>
      <c r="Q105" s="1">
        <v>5</v>
      </c>
      <c r="R105" s="4">
        <v>0.009805797673485328</v>
      </c>
      <c r="S105" s="1" t="s">
        <v>305</v>
      </c>
      <c r="T105" s="1" t="s">
        <v>335</v>
      </c>
      <c r="U105" s="1" t="s">
        <v>339</v>
      </c>
      <c r="V105" s="1" t="s">
        <v>340</v>
      </c>
      <c r="W105" s="6" t="s">
        <v>342</v>
      </c>
      <c r="X105" s="7">
        <v>350.290967</v>
      </c>
      <c r="Y105" s="10">
        <v>46157</v>
      </c>
      <c r="Z105" s="1" t="s">
        <v>358</v>
      </c>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row>
    <row r="106" spans="1:52">
      <c r="A106" s="8" t="s">
        <v>130</v>
      </c>
      <c r="B106" s="2">
        <f>HYPERLINK("https://www.suredividend.com/sure-analysis-AMT/","American Tower Corp.")</f>
        <v>0</v>
      </c>
      <c r="C106" s="1" t="s">
        <v>263</v>
      </c>
      <c r="D106" s="3">
        <v>178</v>
      </c>
      <c r="E106" s="3">
        <v>172.19</v>
      </c>
      <c r="F106" s="3">
        <v>242</v>
      </c>
      <c r="G106" s="4">
        <v>0.7115289256198347</v>
      </c>
      <c r="H106" s="4">
        <v>0.04158197340147512</v>
      </c>
      <c r="I106" s="4">
        <v>0.07043792620683687</v>
      </c>
      <c r="J106" s="4">
        <v>0.05</v>
      </c>
      <c r="K106" s="4">
        <v>0.1505356113774063</v>
      </c>
      <c r="L106" s="1" t="s">
        <v>270</v>
      </c>
      <c r="M106" s="5">
        <v>15.66787989080983</v>
      </c>
      <c r="N106" s="3">
        <v>10.99</v>
      </c>
      <c r="O106" s="3">
        <v>7.16</v>
      </c>
      <c r="P106" s="4">
        <v>0.651501364877161</v>
      </c>
      <c r="Q106" s="1">
        <v>15</v>
      </c>
      <c r="R106" s="4">
        <v>0.02243425864228787</v>
      </c>
      <c r="S106" s="1" t="s">
        <v>315</v>
      </c>
      <c r="T106" s="1" t="s">
        <v>332</v>
      </c>
      <c r="U106" s="1" t="s">
        <v>338</v>
      </c>
      <c r="V106" s="1" t="s">
        <v>340</v>
      </c>
      <c r="W106" s="6" t="s">
        <v>350</v>
      </c>
      <c r="X106" s="7">
        <v>78637.83083000001</v>
      </c>
      <c r="Y106" s="10">
        <v>46142</v>
      </c>
      <c r="Z106" s="1" t="s">
        <v>362</v>
      </c>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row>
    <row r="107" spans="1:52">
      <c r="A107" s="8" t="s">
        <v>131</v>
      </c>
      <c r="B107" s="2">
        <f>HYPERLINK("https://www.suredividend.com/sure-analysis-HRZN/","Horizon Technology Finance Corp")</f>
        <v>0</v>
      </c>
      <c r="C107" s="1" t="s">
        <v>264</v>
      </c>
      <c r="D107" s="3">
        <v>4.2</v>
      </c>
      <c r="E107" s="3">
        <v>4.41</v>
      </c>
      <c r="F107" s="3">
        <v>5.11</v>
      </c>
      <c r="G107" s="4">
        <v>0.863013698630137</v>
      </c>
      <c r="H107" s="4">
        <v>0.163265306122449</v>
      </c>
      <c r="I107" s="4">
        <v>0.02990332946790675</v>
      </c>
      <c r="J107" s="4">
        <v>0</v>
      </c>
      <c r="K107" s="4">
        <v>0.1458187194184086</v>
      </c>
      <c r="L107" s="1" t="s">
        <v>270</v>
      </c>
      <c r="M107" s="5">
        <v>6.04109589041096</v>
      </c>
      <c r="N107" s="3">
        <v>0.73</v>
      </c>
      <c r="O107" s="3">
        <v>0.72</v>
      </c>
      <c r="P107" s="4">
        <v>0.9863013698630136</v>
      </c>
      <c r="Q107" s="1">
        <v>0</v>
      </c>
      <c r="R107" s="4">
        <v>0</v>
      </c>
      <c r="S107" s="1" t="s">
        <v>318</v>
      </c>
      <c r="T107" s="1" t="s">
        <v>335</v>
      </c>
      <c r="U107" s="1" t="s">
        <v>339</v>
      </c>
      <c r="V107" s="1" t="s">
        <v>340</v>
      </c>
      <c r="W107" s="6" t="s">
        <v>342</v>
      </c>
      <c r="X107" s="7">
        <v>301.0315</v>
      </c>
      <c r="Y107" s="10">
        <v>46155</v>
      </c>
      <c r="Z107" s="1" t="s">
        <v>358</v>
      </c>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row>
    <row r="108" spans="1:52">
      <c r="A108" s="8" t="s">
        <v>132</v>
      </c>
      <c r="B108" s="2">
        <f>HYPERLINK("https://www.suredividend.com/sure-analysis-TUERF/","True North Commercial REIT")</f>
        <v>0</v>
      </c>
      <c r="C108" s="1" t="s">
        <v>264</v>
      </c>
      <c r="D108" s="3">
        <v>6.04</v>
      </c>
      <c r="E108" s="3">
        <v>5.97</v>
      </c>
      <c r="F108" s="3">
        <v>9.06</v>
      </c>
      <c r="G108" s="4">
        <v>0.6589403973509933</v>
      </c>
      <c r="H108" s="4">
        <v>0.08375209380234507</v>
      </c>
      <c r="I108" s="4">
        <v>0.08700307663937434</v>
      </c>
      <c r="J108" s="4">
        <v>0</v>
      </c>
      <c r="K108" s="4">
        <v>0.1412918095932572</v>
      </c>
      <c r="L108" s="1" t="s">
        <v>270</v>
      </c>
      <c r="M108" s="5">
        <v>3.95364238410596</v>
      </c>
      <c r="N108" s="3">
        <v>1.51</v>
      </c>
      <c r="O108" s="3">
        <v>0.5</v>
      </c>
      <c r="P108" s="4">
        <v>0.3311258278145696</v>
      </c>
      <c r="Q108" s="1">
        <v>0</v>
      </c>
      <c r="R108" s="4">
        <v>0</v>
      </c>
      <c r="T108" s="1" t="s">
        <v>335</v>
      </c>
      <c r="U108" s="1" t="s">
        <v>338</v>
      </c>
      <c r="V108" s="1" t="s">
        <v>341</v>
      </c>
      <c r="W108" s="6" t="s">
        <v>350</v>
      </c>
      <c r="Y108" s="10">
        <v>46165</v>
      </c>
      <c r="Z108" s="1" t="s">
        <v>358</v>
      </c>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row>
    <row r="109" spans="1:52">
      <c r="A109" s="8" t="s">
        <v>133</v>
      </c>
      <c r="B109" s="2">
        <f>HYPERLINK("https://www.suredividend.com/sure-analysis-UMH/","UMH Properties Inc")</f>
        <v>0</v>
      </c>
      <c r="C109" s="1" t="s">
        <v>263</v>
      </c>
      <c r="D109" s="3">
        <v>15.66</v>
      </c>
      <c r="E109" s="3">
        <v>15.115</v>
      </c>
      <c r="F109" s="3">
        <v>18</v>
      </c>
      <c r="G109" s="4">
        <v>0.8397222222222223</v>
      </c>
      <c r="H109" s="4">
        <v>0.05954349983460139</v>
      </c>
      <c r="I109" s="4">
        <v>0.03555428655721626</v>
      </c>
      <c r="J109" s="4">
        <v>0.06</v>
      </c>
      <c r="K109" s="4">
        <v>0.1403200201783561</v>
      </c>
      <c r="L109" s="1" t="s">
        <v>270</v>
      </c>
      <c r="M109" s="5">
        <v>15.115</v>
      </c>
      <c r="N109" s="3">
        <v>1</v>
      </c>
      <c r="O109" s="3">
        <v>0.9</v>
      </c>
      <c r="P109" s="4">
        <v>0.9</v>
      </c>
      <c r="Q109" s="1">
        <v>6</v>
      </c>
      <c r="R109" s="4">
        <v>0.03905083978672197</v>
      </c>
      <c r="S109" s="1" t="s">
        <v>301</v>
      </c>
      <c r="T109" s="1" t="s">
        <v>332</v>
      </c>
      <c r="U109" s="1" t="s">
        <v>338</v>
      </c>
      <c r="V109" s="1" t="s">
        <v>340</v>
      </c>
      <c r="W109" s="6" t="s">
        <v>350</v>
      </c>
      <c r="X109" s="7">
        <v>1287.712868</v>
      </c>
      <c r="Y109" s="10">
        <v>46147</v>
      </c>
      <c r="Z109" s="1" t="s">
        <v>357</v>
      </c>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row>
    <row r="110" spans="1:52">
      <c r="A110" s="8" t="s">
        <v>134</v>
      </c>
      <c r="B110" s="2">
        <f>HYPERLINK("https://www.suredividend.com/sure-analysis-APAM/","Artisan Partners Asset Management Inc")</f>
        <v>0</v>
      </c>
      <c r="C110" s="1" t="s">
        <v>263</v>
      </c>
      <c r="D110" s="3">
        <v>36</v>
      </c>
      <c r="E110" s="3">
        <v>34.93</v>
      </c>
      <c r="F110" s="3">
        <v>46</v>
      </c>
      <c r="G110" s="4">
        <v>0.7593478260869565</v>
      </c>
      <c r="H110" s="4">
        <v>0.08817635270541083</v>
      </c>
      <c r="I110" s="4">
        <v>0.05660302376740645</v>
      </c>
      <c r="J110" s="4">
        <v>0.02</v>
      </c>
      <c r="K110" s="4">
        <v>0.1395940366811637</v>
      </c>
      <c r="L110" s="1" t="s">
        <v>270</v>
      </c>
      <c r="M110" s="5">
        <v>8.416867469879517</v>
      </c>
      <c r="N110" s="3">
        <v>4.15</v>
      </c>
      <c r="O110" s="3">
        <v>3.08</v>
      </c>
      <c r="P110" s="4">
        <v>0.7421686746987951</v>
      </c>
      <c r="Q110" s="1">
        <v>4</v>
      </c>
      <c r="R110" s="4">
        <v>0.01996587099475744</v>
      </c>
      <c r="S110" s="1" t="s">
        <v>301</v>
      </c>
      <c r="T110" s="1" t="s">
        <v>332</v>
      </c>
      <c r="U110" s="1" t="s">
        <v>336</v>
      </c>
      <c r="V110" s="1" t="s">
        <v>340</v>
      </c>
      <c r="W110" s="6" t="s">
        <v>342</v>
      </c>
      <c r="X110" s="7">
        <v>2824.052428</v>
      </c>
      <c r="Y110" s="10">
        <v>46159</v>
      </c>
      <c r="Z110" s="1" t="s">
        <v>353</v>
      </c>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row>
    <row r="111" spans="1:52">
      <c r="A111" s="8" t="s">
        <v>135</v>
      </c>
      <c r="B111" s="2">
        <f>HYPERLINK("https://www.suredividend.com/sure-analysis-ITUB/","Itau Unibanco Holding S.A.")</f>
        <v>0</v>
      </c>
      <c r="C111" s="1" t="s">
        <v>263</v>
      </c>
      <c r="D111" s="3">
        <v>7.8</v>
      </c>
      <c r="E111" s="3">
        <v>7.97</v>
      </c>
      <c r="F111" s="3">
        <v>9.4</v>
      </c>
      <c r="G111" s="4">
        <v>0.8478723404255318</v>
      </c>
      <c r="H111" s="4">
        <v>0.0740276035131744</v>
      </c>
      <c r="I111" s="4">
        <v>0.0335557476202526</v>
      </c>
      <c r="J111" s="4">
        <v>0.05</v>
      </c>
      <c r="K111" s="4">
        <v>0.1380078096542732</v>
      </c>
      <c r="L111" s="1" t="s">
        <v>270</v>
      </c>
      <c r="M111" s="5">
        <v>8.478723404255319</v>
      </c>
      <c r="N111" s="3">
        <v>0.9399999999999999</v>
      </c>
      <c r="O111" s="3">
        <v>0.59</v>
      </c>
      <c r="P111" s="4">
        <v>0.6276595744680851</v>
      </c>
      <c r="Q111" s="1">
        <v>5</v>
      </c>
      <c r="R111" s="4">
        <v>0.02880100591263379</v>
      </c>
      <c r="T111" s="1" t="s">
        <v>335</v>
      </c>
      <c r="U111" s="1" t="s">
        <v>336</v>
      </c>
      <c r="V111" s="1" t="s">
        <v>341</v>
      </c>
      <c r="W111" s="6" t="s">
        <v>342</v>
      </c>
      <c r="X111" s="7">
        <v>88542.991976</v>
      </c>
      <c r="Y111" s="10">
        <v>46194</v>
      </c>
      <c r="Z111" s="1" t="s">
        <v>359</v>
      </c>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row>
    <row r="112" spans="1:52">
      <c r="A112" s="8" t="s">
        <v>136</v>
      </c>
      <c r="B112" s="2">
        <f>HYPERLINK("https://www.suredividend.com/sure-analysis-CDPYF/","Canadian Apartment Properties Real Estate Investment Trust")</f>
        <v>0</v>
      </c>
      <c r="C112" s="1" t="s">
        <v>263</v>
      </c>
      <c r="D112" s="3">
        <v>26</v>
      </c>
      <c r="E112" s="3">
        <v>24.39</v>
      </c>
      <c r="F112" s="3">
        <v>34</v>
      </c>
      <c r="G112" s="4">
        <v>0.7173529411764706</v>
      </c>
      <c r="H112" s="4">
        <v>0.04592045920459205</v>
      </c>
      <c r="I112" s="4">
        <v>0.06869412850240075</v>
      </c>
      <c r="J112" s="4">
        <v>0.035</v>
      </c>
      <c r="K112" s="4">
        <v>0.1378055378760874</v>
      </c>
      <c r="L112" s="1" t="s">
        <v>270</v>
      </c>
      <c r="M112" s="5">
        <v>13.2554347826087</v>
      </c>
      <c r="N112" s="3">
        <v>1.84</v>
      </c>
      <c r="O112" s="3">
        <v>1.12</v>
      </c>
      <c r="P112" s="4">
        <v>0.6086956521739131</v>
      </c>
      <c r="Q112" s="1">
        <v>2</v>
      </c>
      <c r="R112" s="4">
        <v>0.03025579475561258</v>
      </c>
      <c r="T112" s="1" t="s">
        <v>335</v>
      </c>
      <c r="U112" s="1" t="s">
        <v>338</v>
      </c>
      <c r="V112" s="1" t="s">
        <v>341</v>
      </c>
      <c r="W112" s="6" t="s">
        <v>350</v>
      </c>
      <c r="Y112" s="10">
        <v>46173</v>
      </c>
      <c r="Z112" s="1" t="s">
        <v>357</v>
      </c>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row>
    <row r="113" spans="1:52">
      <c r="A113" s="8" t="s">
        <v>137</v>
      </c>
      <c r="B113" s="2">
        <f>HYPERLINK("https://www.suredividend.com/sure-analysis-CSR/","Centerspace")</f>
        <v>0</v>
      </c>
      <c r="C113" s="1" t="s">
        <v>263</v>
      </c>
      <c r="D113" s="3">
        <v>66</v>
      </c>
      <c r="E113" s="3">
        <v>56.74</v>
      </c>
      <c r="F113" s="3">
        <v>74</v>
      </c>
      <c r="G113" s="4">
        <v>0.7667567567567568</v>
      </c>
      <c r="H113" s="4">
        <v>0.05428269298554812</v>
      </c>
      <c r="I113" s="4">
        <v>0.05455316061257731</v>
      </c>
      <c r="J113" s="4">
        <v>0.04</v>
      </c>
      <c r="K113" s="4">
        <v>0.1338251271662949</v>
      </c>
      <c r="L113" s="1" t="s">
        <v>270</v>
      </c>
      <c r="M113" s="5">
        <v>11.50912778904666</v>
      </c>
      <c r="N113" s="3">
        <v>4.93</v>
      </c>
      <c r="O113" s="3">
        <v>3.08</v>
      </c>
      <c r="P113" s="4">
        <v>0.6247464503042597</v>
      </c>
      <c r="Q113" s="1">
        <v>5</v>
      </c>
      <c r="R113" s="4">
        <v>0.01876307770530983</v>
      </c>
      <c r="S113" s="1" t="s">
        <v>283</v>
      </c>
      <c r="T113" s="1" t="s">
        <v>332</v>
      </c>
      <c r="U113" s="1" t="s">
        <v>336</v>
      </c>
      <c r="V113" s="1" t="s">
        <v>340</v>
      </c>
      <c r="W113" s="6" t="s">
        <v>350</v>
      </c>
      <c r="X113" s="7">
        <v>953.578649</v>
      </c>
      <c r="Y113" s="10">
        <v>46147</v>
      </c>
      <c r="Z113" s="1" t="s">
        <v>354</v>
      </c>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row>
    <row r="114" spans="1:52">
      <c r="A114" s="8" t="s">
        <v>138</v>
      </c>
      <c r="B114" s="2">
        <f>HYPERLINK("https://www.suredividend.com/sure-analysis-UPS/","United Parcel Service, Inc.")</f>
        <v>0</v>
      </c>
      <c r="C114" s="1" t="s">
        <v>263</v>
      </c>
      <c r="D114" s="3">
        <v>98</v>
      </c>
      <c r="E114" s="3">
        <v>109</v>
      </c>
      <c r="F114" s="3">
        <v>103</v>
      </c>
      <c r="G114" s="4">
        <v>1.058252427184466</v>
      </c>
      <c r="H114" s="4">
        <v>0.06018348623853211</v>
      </c>
      <c r="I114" s="4">
        <v>-0.01125990613738292</v>
      </c>
      <c r="J114" s="4">
        <v>0.1</v>
      </c>
      <c r="K114" s="4">
        <v>0.1334793361636639</v>
      </c>
      <c r="L114" s="1" t="s">
        <v>270</v>
      </c>
      <c r="M114" s="5">
        <v>15.3737658674189</v>
      </c>
      <c r="N114" s="3">
        <v>7.09</v>
      </c>
      <c r="O114" s="3">
        <v>6.56</v>
      </c>
      <c r="P114" s="4">
        <v>0.92524682651622</v>
      </c>
      <c r="Q114" s="1">
        <v>16</v>
      </c>
      <c r="R114" s="4">
        <v>0.04993961848285</v>
      </c>
      <c r="S114" s="1" t="s">
        <v>292</v>
      </c>
      <c r="T114" s="1" t="s">
        <v>332</v>
      </c>
      <c r="U114" s="1" t="s">
        <v>336</v>
      </c>
      <c r="V114" s="1" t="s">
        <v>340</v>
      </c>
      <c r="W114" s="6" t="s">
        <v>352</v>
      </c>
      <c r="X114" s="7">
        <v>92914.186357</v>
      </c>
      <c r="Y114" s="10">
        <v>46147</v>
      </c>
      <c r="Z114" s="1" t="s">
        <v>354</v>
      </c>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row>
    <row r="115" spans="1:52">
      <c r="A115" s="8" t="s">
        <v>139</v>
      </c>
      <c r="B115" s="2">
        <f>HYPERLINK("https://www.suredividend.com/sure-analysis-RHI/","Robert Half Inc")</f>
        <v>0</v>
      </c>
      <c r="C115" s="1" t="s">
        <v>263</v>
      </c>
      <c r="D115" s="3">
        <v>26</v>
      </c>
      <c r="E115" s="3">
        <v>29.99</v>
      </c>
      <c r="F115" s="3">
        <v>30</v>
      </c>
      <c r="G115" s="4">
        <v>0.9996666666666666</v>
      </c>
      <c r="H115" s="4">
        <v>0.07869289763254418</v>
      </c>
      <c r="I115" s="4">
        <v>6.668000326026657E-05</v>
      </c>
      <c r="J115" s="4">
        <v>0.08</v>
      </c>
      <c r="K115" s="4">
        <v>0.1325457148970046</v>
      </c>
      <c r="L115" s="1" t="s">
        <v>270</v>
      </c>
      <c r="M115" s="5">
        <v>19.99333333333333</v>
      </c>
      <c r="N115" s="3">
        <v>1.5</v>
      </c>
      <c r="O115" s="3">
        <v>2.36</v>
      </c>
      <c r="P115" s="4">
        <v>1.573333333333333</v>
      </c>
      <c r="Q115" s="1">
        <v>21</v>
      </c>
      <c r="R115" s="4">
        <v>0</v>
      </c>
      <c r="S115" s="1" t="s">
        <v>319</v>
      </c>
      <c r="T115" s="1" t="s">
        <v>332</v>
      </c>
      <c r="U115" s="1" t="s">
        <v>336</v>
      </c>
      <c r="V115" s="1" t="s">
        <v>340</v>
      </c>
      <c r="W115" s="6" t="s">
        <v>352</v>
      </c>
      <c r="X115" s="7">
        <v>3078.014093</v>
      </c>
      <c r="Y115" s="10">
        <v>46137</v>
      </c>
      <c r="Z115" s="1" t="s">
        <v>363</v>
      </c>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row>
    <row r="116" spans="1:52">
      <c r="A116" s="8" t="s">
        <v>140</v>
      </c>
      <c r="B116" s="2">
        <f>HYPERLINK("https://www.suredividend.com/sure-analysis-CRLFF/","Cardinal Energy Ltd.")</f>
        <v>0</v>
      </c>
      <c r="C116" s="1" t="s">
        <v>264</v>
      </c>
      <c r="D116" s="3">
        <v>9.359999999999999</v>
      </c>
      <c r="E116" s="3">
        <v>7.58</v>
      </c>
      <c r="F116" s="3">
        <v>9</v>
      </c>
      <c r="G116" s="4">
        <v>0.8422222222222222</v>
      </c>
      <c r="H116" s="4">
        <v>0.06860158311345646</v>
      </c>
      <c r="I116" s="4">
        <v>0.03493878033834785</v>
      </c>
      <c r="J116" s="4">
        <v>0.05</v>
      </c>
      <c r="K116" s="4">
        <v>0.1319493354092329</v>
      </c>
      <c r="L116" s="1" t="s">
        <v>270</v>
      </c>
      <c r="M116" s="5">
        <v>7.58</v>
      </c>
      <c r="N116" s="3">
        <v>1</v>
      </c>
      <c r="O116" s="3">
        <v>0.52</v>
      </c>
      <c r="P116" s="4">
        <v>0.52</v>
      </c>
      <c r="Q116" s="1">
        <v>0</v>
      </c>
      <c r="R116" s="4">
        <v>0</v>
      </c>
      <c r="T116" s="1" t="s">
        <v>335</v>
      </c>
      <c r="U116" s="1" t="s">
        <v>336</v>
      </c>
      <c r="V116" s="1" t="s">
        <v>341</v>
      </c>
      <c r="W116" s="6" t="s">
        <v>351</v>
      </c>
      <c r="Y116" s="10">
        <v>46160</v>
      </c>
      <c r="Z116" s="1" t="s">
        <v>358</v>
      </c>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row>
    <row r="117" spans="1:52">
      <c r="A117" s="8" t="s">
        <v>141</v>
      </c>
      <c r="B117" s="2">
        <f>HYPERLINK("https://www.suredividend.com/sure-analysis-IVR/","Invesco Mortgage Capital Inc.")</f>
        <v>0</v>
      </c>
      <c r="C117" s="1" t="s">
        <v>263</v>
      </c>
      <c r="D117" s="3">
        <v>8.33</v>
      </c>
      <c r="E117" s="3">
        <v>7.83</v>
      </c>
      <c r="F117" s="3">
        <v>15</v>
      </c>
      <c r="G117" s="4">
        <v>0.522</v>
      </c>
      <c r="H117" s="4">
        <v>0.1839080459770115</v>
      </c>
      <c r="I117" s="4">
        <v>0.1388483565223833</v>
      </c>
      <c r="J117" s="4">
        <v>-0.1</v>
      </c>
      <c r="K117" s="4">
        <v>0.1258537537459652</v>
      </c>
      <c r="L117" s="1" t="s">
        <v>270</v>
      </c>
      <c r="M117" s="5">
        <v>3.915</v>
      </c>
      <c r="N117" s="3">
        <v>2</v>
      </c>
      <c r="O117" s="3">
        <v>1.44</v>
      </c>
      <c r="P117" s="4">
        <v>0.72</v>
      </c>
      <c r="Q117" s="1">
        <v>1</v>
      </c>
      <c r="R117" s="4">
        <v>-0.1000647013375663</v>
      </c>
      <c r="S117" s="1" t="s">
        <v>299</v>
      </c>
      <c r="T117" s="1" t="s">
        <v>335</v>
      </c>
      <c r="U117" s="1" t="s">
        <v>336</v>
      </c>
      <c r="V117" s="1" t="s">
        <v>340</v>
      </c>
      <c r="W117" s="6" t="s">
        <v>342</v>
      </c>
      <c r="X117" s="7">
        <v>726.806196</v>
      </c>
      <c r="Y117" s="10">
        <v>46146</v>
      </c>
      <c r="Z117" s="1" t="s">
        <v>358</v>
      </c>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row>
    <row r="118" spans="1:52">
      <c r="A118" s="8" t="s">
        <v>142</v>
      </c>
      <c r="B118" s="2">
        <f>HYPERLINK("https://www.suredividend.com/sure-analysis-BCIC/","BCP Investment Corporation")</f>
        <v>0</v>
      </c>
      <c r="C118" s="1" t="s">
        <v>264</v>
      </c>
      <c r="D118" s="3">
        <v>8.35</v>
      </c>
      <c r="E118" s="3">
        <v>7.15</v>
      </c>
      <c r="F118" s="3">
        <v>7.5</v>
      </c>
      <c r="G118" s="4">
        <v>0.9533333333333334</v>
      </c>
      <c r="H118" s="4">
        <v>0.1510489510489511</v>
      </c>
      <c r="I118" s="4">
        <v>0.009603957601854507</v>
      </c>
      <c r="J118" s="4">
        <v>0</v>
      </c>
      <c r="K118" s="4">
        <v>0.1252699820759697</v>
      </c>
      <c r="L118" s="1" t="s">
        <v>270</v>
      </c>
      <c r="M118" s="5">
        <v>2.86</v>
      </c>
      <c r="N118" s="3">
        <v>2.5</v>
      </c>
      <c r="O118" s="3">
        <v>1.08</v>
      </c>
      <c r="P118" s="4">
        <v>0.4320000000000001</v>
      </c>
      <c r="Q118" s="1">
        <v>0</v>
      </c>
      <c r="R118" s="4">
        <v>0</v>
      </c>
      <c r="S118" s="1" t="s">
        <v>301</v>
      </c>
      <c r="T118" s="1" t="s">
        <v>335</v>
      </c>
      <c r="U118" s="1" t="s">
        <v>336</v>
      </c>
      <c r="V118" s="1" t="s">
        <v>340</v>
      </c>
      <c r="W118" s="6" t="s">
        <v>342</v>
      </c>
      <c r="X118" s="7">
        <v>88.49898899999999</v>
      </c>
      <c r="Y118" s="10">
        <v>46153</v>
      </c>
      <c r="Z118" s="1" t="s">
        <v>358</v>
      </c>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row>
    <row r="119" spans="1:52">
      <c r="A119" s="8" t="s">
        <v>143</v>
      </c>
      <c r="B119" s="2">
        <f>HYPERLINK("https://www.suredividend.com/sure-analysis-IIPR/","Innovative Industrial Properties Inc")</f>
        <v>0</v>
      </c>
      <c r="C119" s="1" t="s">
        <v>263</v>
      </c>
      <c r="D119" s="3">
        <v>60</v>
      </c>
      <c r="E119" s="3">
        <v>61.4</v>
      </c>
      <c r="F119" s="3">
        <v>55</v>
      </c>
      <c r="G119" s="4">
        <v>1.116363636363636</v>
      </c>
      <c r="H119" s="4">
        <v>0.1237785016286645</v>
      </c>
      <c r="I119" s="4">
        <v>-0.0217747612411171</v>
      </c>
      <c r="J119" s="4">
        <v>0.05</v>
      </c>
      <c r="K119" s="4">
        <v>0.1247750979293798</v>
      </c>
      <c r="L119" s="1" t="s">
        <v>270</v>
      </c>
      <c r="M119" s="5">
        <v>8.885672937771346</v>
      </c>
      <c r="N119" s="3">
        <v>6.91</v>
      </c>
      <c r="O119" s="3">
        <v>7.6</v>
      </c>
      <c r="P119" s="4">
        <v>1.099855282199711</v>
      </c>
      <c r="Q119" s="1">
        <v>7</v>
      </c>
      <c r="R119" s="4">
        <v>0.01997534418600933</v>
      </c>
      <c r="S119" s="1" t="s">
        <v>320</v>
      </c>
      <c r="T119" s="1" t="s">
        <v>332</v>
      </c>
      <c r="U119" s="1" t="s">
        <v>338</v>
      </c>
      <c r="V119" s="1" t="s">
        <v>340</v>
      </c>
      <c r="W119" s="6" t="s">
        <v>350</v>
      </c>
      <c r="X119" s="7">
        <v>1759.846585</v>
      </c>
      <c r="Y119" s="10">
        <v>46148</v>
      </c>
      <c r="Z119" s="1" t="s">
        <v>358</v>
      </c>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row>
    <row r="120" spans="1:52">
      <c r="A120" s="8" t="s">
        <v>144</v>
      </c>
      <c r="B120" s="2">
        <f>HYPERLINK("https://www.suredividend.com/sure-analysis-PEYUF/","Peyto Exploration &amp; Development Corp.")</f>
        <v>0</v>
      </c>
      <c r="C120" s="1" t="s">
        <v>264</v>
      </c>
      <c r="D120" s="3">
        <v>19.46</v>
      </c>
      <c r="E120" s="3">
        <v>17.11</v>
      </c>
      <c r="F120" s="3">
        <v>20</v>
      </c>
      <c r="G120" s="4">
        <v>0.8554999999999999</v>
      </c>
      <c r="H120" s="4">
        <v>0.06136762127410871</v>
      </c>
      <c r="I120" s="4">
        <v>0.03170609737098573</v>
      </c>
      <c r="J120" s="4">
        <v>0.05</v>
      </c>
      <c r="K120" s="4">
        <v>0.1245826838473427</v>
      </c>
      <c r="L120" s="1" t="s">
        <v>270</v>
      </c>
      <c r="M120" s="5">
        <v>8.555</v>
      </c>
      <c r="N120" s="3">
        <v>2</v>
      </c>
      <c r="O120" s="3">
        <v>1.05</v>
      </c>
      <c r="P120" s="4">
        <v>0.525</v>
      </c>
      <c r="Q120" s="1">
        <v>1</v>
      </c>
      <c r="R120" s="4">
        <v>0</v>
      </c>
      <c r="T120" s="1" t="s">
        <v>335</v>
      </c>
      <c r="U120" s="1" t="s">
        <v>336</v>
      </c>
      <c r="V120" s="1" t="s">
        <v>341</v>
      </c>
      <c r="W120" s="6" t="s">
        <v>351</v>
      </c>
      <c r="Y120" s="10">
        <v>46160</v>
      </c>
      <c r="Z120" s="1" t="s">
        <v>358</v>
      </c>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row>
    <row r="121" spans="1:52">
      <c r="A121" s="8" t="s">
        <v>145</v>
      </c>
      <c r="B121" s="2">
        <f>HYPERLINK("https://www.suredividend.com/sure-analysis-EQNR/","Equinor ASA")</f>
        <v>0</v>
      </c>
      <c r="C121" s="1" t="s">
        <v>263</v>
      </c>
      <c r="D121" s="3">
        <v>36</v>
      </c>
      <c r="E121" s="3">
        <v>30.93</v>
      </c>
      <c r="F121" s="3">
        <v>56</v>
      </c>
      <c r="G121" s="4">
        <v>0.5523214285714285</v>
      </c>
      <c r="H121" s="4">
        <v>0.05043646944713871</v>
      </c>
      <c r="I121" s="4">
        <v>0.1260602325784315</v>
      </c>
      <c r="J121" s="4">
        <v>-0.04</v>
      </c>
      <c r="K121" s="4">
        <v>0.1230909534939986</v>
      </c>
      <c r="L121" s="1" t="s">
        <v>270</v>
      </c>
      <c r="M121" s="5">
        <v>5.523214285714286</v>
      </c>
      <c r="N121" s="3">
        <v>5.6</v>
      </c>
      <c r="O121" s="3">
        <v>1.56</v>
      </c>
      <c r="P121" s="4">
        <v>0.2785714285714286</v>
      </c>
      <c r="Q121" s="1">
        <v>6</v>
      </c>
      <c r="R121" s="4">
        <v>0.07019742897422021</v>
      </c>
      <c r="S121" s="1" t="s">
        <v>321</v>
      </c>
      <c r="T121" s="1" t="s">
        <v>332</v>
      </c>
      <c r="U121" s="1" t="s">
        <v>336</v>
      </c>
      <c r="V121" s="1" t="s">
        <v>341</v>
      </c>
      <c r="W121" s="6" t="s">
        <v>351</v>
      </c>
      <c r="X121" s="7">
        <v>78908.553707</v>
      </c>
      <c r="Y121" s="10">
        <v>46150</v>
      </c>
      <c r="Z121" s="1" t="s">
        <v>358</v>
      </c>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row>
    <row r="122" spans="1:52">
      <c r="A122" s="8" t="s">
        <v>146</v>
      </c>
      <c r="B122" s="2">
        <f>HYPERLINK("https://www.suredividend.com/sure-analysis-MSIF/","MSC Income Fund, Inc.")</f>
        <v>0</v>
      </c>
      <c r="C122" s="1" t="s">
        <v>264</v>
      </c>
      <c r="D122" s="3">
        <v>12.85</v>
      </c>
      <c r="E122" s="3">
        <v>11.7</v>
      </c>
      <c r="F122" s="3">
        <v>14.28</v>
      </c>
      <c r="G122" s="4">
        <v>0.819327731092437</v>
      </c>
      <c r="H122" s="4">
        <v>0.1128205128205128</v>
      </c>
      <c r="I122" s="4">
        <v>0.04065905900114353</v>
      </c>
      <c r="J122" s="4">
        <v>0</v>
      </c>
      <c r="K122" s="4">
        <v>0.1228168631640356</v>
      </c>
      <c r="L122" s="1" t="s">
        <v>270</v>
      </c>
      <c r="M122" s="5">
        <v>8.796992481203006</v>
      </c>
      <c r="N122" s="3">
        <v>1.33</v>
      </c>
      <c r="O122" s="3">
        <v>1.32</v>
      </c>
      <c r="P122" s="4">
        <v>0.9924812030075187</v>
      </c>
      <c r="Q122" s="1">
        <v>0</v>
      </c>
      <c r="R122" s="4">
        <v>0</v>
      </c>
      <c r="T122" s="1" t="s">
        <v>335</v>
      </c>
      <c r="U122" s="1" t="s">
        <v>339</v>
      </c>
      <c r="V122" s="1" t="s">
        <v>340</v>
      </c>
      <c r="W122" s="6" t="s">
        <v>342</v>
      </c>
      <c r="Y122" s="10">
        <v>46156</v>
      </c>
      <c r="Z122" s="1" t="s">
        <v>358</v>
      </c>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row>
    <row r="123" spans="1:52">
      <c r="A123" s="8" t="s">
        <v>147</v>
      </c>
      <c r="B123" s="2">
        <f>HYPERLINK("https://www.suredividend.com/sure-analysis-GOOD/","Gladstone Commercial Corp")</f>
        <v>0</v>
      </c>
      <c r="C123" s="1" t="s">
        <v>264</v>
      </c>
      <c r="D123" s="3">
        <v>12.68</v>
      </c>
      <c r="E123" s="3">
        <v>12.1</v>
      </c>
      <c r="F123" s="3">
        <v>14.7</v>
      </c>
      <c r="G123" s="4">
        <v>0.8231292517006803</v>
      </c>
      <c r="H123" s="4">
        <v>0.09917355371900827</v>
      </c>
      <c r="I123" s="4">
        <v>0.03969604731203935</v>
      </c>
      <c r="J123" s="4">
        <v>0.01</v>
      </c>
      <c r="K123" s="4">
        <v>0.1213153533460873</v>
      </c>
      <c r="L123" s="1" t="s">
        <v>270</v>
      </c>
      <c r="M123" s="5">
        <v>8.642857142857142</v>
      </c>
      <c r="N123" s="3">
        <v>1.4</v>
      </c>
      <c r="O123" s="3">
        <v>1.2</v>
      </c>
      <c r="P123" s="4">
        <v>0.8571428571428572</v>
      </c>
      <c r="Q123" s="1">
        <v>0</v>
      </c>
      <c r="R123" s="4">
        <v>0</v>
      </c>
      <c r="S123" s="1" t="s">
        <v>322</v>
      </c>
      <c r="T123" s="1" t="s">
        <v>335</v>
      </c>
      <c r="U123" s="1" t="s">
        <v>338</v>
      </c>
      <c r="V123" s="1" t="s">
        <v>340</v>
      </c>
      <c r="W123" s="6" t="s">
        <v>350</v>
      </c>
      <c r="X123" s="7">
        <v>585.724615</v>
      </c>
      <c r="Y123" s="10">
        <v>46169</v>
      </c>
      <c r="Z123" s="1" t="s">
        <v>353</v>
      </c>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row>
    <row r="124" spans="1:52">
      <c r="A124" s="8" t="s">
        <v>148</v>
      </c>
      <c r="B124" s="2">
        <f>HYPERLINK("https://www.suredividend.com/sure-analysis-GLP/","Global Partners LP")</f>
        <v>0</v>
      </c>
      <c r="C124" s="1" t="s">
        <v>263</v>
      </c>
      <c r="D124" s="3">
        <v>50</v>
      </c>
      <c r="E124" s="3">
        <v>45.95</v>
      </c>
      <c r="F124" s="3">
        <v>61</v>
      </c>
      <c r="G124" s="4">
        <v>0.7532786885245902</v>
      </c>
      <c r="H124" s="4">
        <v>0.06659412404787812</v>
      </c>
      <c r="I124" s="4">
        <v>0.05830016504907443</v>
      </c>
      <c r="J124" s="4">
        <v>0.01</v>
      </c>
      <c r="K124" s="4">
        <v>0.120995377830172</v>
      </c>
      <c r="L124" s="1" t="s">
        <v>270</v>
      </c>
      <c r="M124" s="5">
        <v>9.776595744680851</v>
      </c>
      <c r="N124" s="3">
        <v>4.7</v>
      </c>
      <c r="O124" s="3">
        <v>3.06</v>
      </c>
      <c r="P124" s="4">
        <v>0.651063829787234</v>
      </c>
      <c r="Q124" s="1">
        <v>6</v>
      </c>
      <c r="R124" s="4">
        <v>0.03983469194256162</v>
      </c>
      <c r="S124" s="1" t="s">
        <v>317</v>
      </c>
      <c r="T124" s="1" t="s">
        <v>332</v>
      </c>
      <c r="U124" s="1" t="s">
        <v>337</v>
      </c>
      <c r="V124" s="1" t="s">
        <v>340</v>
      </c>
      <c r="W124" s="6" t="s">
        <v>351</v>
      </c>
      <c r="X124" s="7">
        <v>1041.32496</v>
      </c>
      <c r="Y124" s="10">
        <v>46165</v>
      </c>
      <c r="Z124" s="1" t="s">
        <v>362</v>
      </c>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row>
    <row r="125" spans="1:52">
      <c r="A125" s="8" t="s">
        <v>149</v>
      </c>
      <c r="B125" s="2">
        <f>HYPERLINK("https://www.suredividend.com/sure-analysis-HESM/","Hess Midstream LP")</f>
        <v>0</v>
      </c>
      <c r="C125" s="1" t="s">
        <v>263</v>
      </c>
      <c r="D125" s="3">
        <v>38</v>
      </c>
      <c r="E125" s="3">
        <v>37.88</v>
      </c>
      <c r="F125" s="3">
        <v>39</v>
      </c>
      <c r="G125" s="4">
        <v>0.9712820512820514</v>
      </c>
      <c r="H125" s="4">
        <v>0.08236536430834213</v>
      </c>
      <c r="I125" s="4">
        <v>0.005844689498092803</v>
      </c>
      <c r="J125" s="4">
        <v>0.05</v>
      </c>
      <c r="K125" s="4">
        <v>0.1202943215052164</v>
      </c>
      <c r="L125" s="1" t="s">
        <v>270</v>
      </c>
      <c r="M125" s="5">
        <v>13.06206896551724</v>
      </c>
      <c r="N125" s="3">
        <v>2.9</v>
      </c>
      <c r="O125" s="3">
        <v>3.12</v>
      </c>
      <c r="P125" s="4">
        <v>1.075862068965517</v>
      </c>
      <c r="Q125" s="1">
        <v>9</v>
      </c>
      <c r="R125" s="4">
        <v>0.03017449941847161</v>
      </c>
      <c r="S125" s="1" t="s">
        <v>323</v>
      </c>
      <c r="T125" s="1" t="s">
        <v>332</v>
      </c>
      <c r="U125" s="1" t="s">
        <v>337</v>
      </c>
      <c r="V125" s="1" t="s">
        <v>340</v>
      </c>
      <c r="W125" s="6" t="s">
        <v>351</v>
      </c>
      <c r="X125" s="7">
        <v>4861.931372</v>
      </c>
      <c r="Y125" s="10">
        <v>46150</v>
      </c>
      <c r="Z125" s="1" t="s">
        <v>362</v>
      </c>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row>
    <row r="126" spans="1:52">
      <c r="A126" s="8" t="s">
        <v>150</v>
      </c>
      <c r="B126" s="2">
        <f>HYPERLINK("https://www.suredividend.com/sure-analysis-OXM/","Oxford Industries, Inc.")</f>
        <v>0</v>
      </c>
      <c r="C126" s="1" t="s">
        <v>263</v>
      </c>
      <c r="D126" s="3">
        <v>37</v>
      </c>
      <c r="E126" s="3">
        <v>35.28</v>
      </c>
      <c r="F126" s="3">
        <v>35</v>
      </c>
      <c r="G126" s="4">
        <v>1.008</v>
      </c>
      <c r="H126" s="4">
        <v>0.07936507936507936</v>
      </c>
      <c r="I126" s="4">
        <v>-0.001592364769566035</v>
      </c>
      <c r="J126" s="4">
        <v>0.06</v>
      </c>
      <c r="K126" s="4">
        <v>0.1182691424765339</v>
      </c>
      <c r="L126" s="1" t="s">
        <v>270</v>
      </c>
      <c r="M126" s="5">
        <v>14.112</v>
      </c>
      <c r="N126" s="3">
        <v>2.5</v>
      </c>
      <c r="O126" s="3">
        <v>2.8</v>
      </c>
      <c r="P126" s="4">
        <v>1.12</v>
      </c>
      <c r="Q126" s="1">
        <v>7</v>
      </c>
      <c r="R126" s="4">
        <v>0.01990586594251287</v>
      </c>
      <c r="S126" s="1" t="s">
        <v>324</v>
      </c>
      <c r="T126" s="1" t="s">
        <v>332</v>
      </c>
      <c r="U126" s="1" t="s">
        <v>336</v>
      </c>
      <c r="V126" s="1" t="s">
        <v>340</v>
      </c>
      <c r="W126" s="6" t="s">
        <v>345</v>
      </c>
      <c r="X126" s="7">
        <v>525.718116</v>
      </c>
      <c r="Y126" s="10">
        <v>46188</v>
      </c>
      <c r="Z126" s="1" t="s">
        <v>356</v>
      </c>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row>
    <row r="127" spans="1:52">
      <c r="A127" s="8" t="s">
        <v>151</v>
      </c>
      <c r="B127" s="2">
        <f>HYPERLINK("https://www.suredividend.com/sure-analysis-DKL/","Delek Logistics Partners, LP")</f>
        <v>0</v>
      </c>
      <c r="C127" s="1" t="s">
        <v>263</v>
      </c>
      <c r="D127" s="3">
        <v>51</v>
      </c>
      <c r="E127" s="3">
        <v>50.39</v>
      </c>
      <c r="F127" s="3">
        <v>50</v>
      </c>
      <c r="G127" s="4">
        <v>1.0078</v>
      </c>
      <c r="H127" s="4">
        <v>0.08970033736852549</v>
      </c>
      <c r="I127" s="4">
        <v>-0.001552740701685873</v>
      </c>
      <c r="J127" s="4">
        <v>0.05</v>
      </c>
      <c r="K127" s="4">
        <v>0.1174689280883148</v>
      </c>
      <c r="L127" s="1" t="s">
        <v>270</v>
      </c>
      <c r="M127" s="5">
        <v>8.998214285714287</v>
      </c>
      <c r="N127" s="3">
        <v>5.6</v>
      </c>
      <c r="O127" s="3">
        <v>4.52</v>
      </c>
      <c r="P127" s="4">
        <v>0.8071428571428572</v>
      </c>
      <c r="Q127" s="1">
        <v>11</v>
      </c>
      <c r="R127" s="4">
        <v>0.01998179916782061</v>
      </c>
      <c r="S127" s="1" t="s">
        <v>276</v>
      </c>
      <c r="T127" s="1" t="s">
        <v>332</v>
      </c>
      <c r="U127" s="1" t="s">
        <v>337</v>
      </c>
      <c r="V127" s="1" t="s">
        <v>340</v>
      </c>
      <c r="W127" s="6" t="s">
        <v>351</v>
      </c>
      <c r="X127" s="7">
        <v>2369.444022</v>
      </c>
      <c r="Y127" s="10">
        <v>46148</v>
      </c>
      <c r="Z127" s="1" t="s">
        <v>362</v>
      </c>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row>
    <row r="128" spans="1:52">
      <c r="A128" s="8" t="s">
        <v>152</v>
      </c>
      <c r="B128" s="2">
        <f>HYPERLINK("https://www.suredividend.com/sure-analysis-PRT/","PermRock Royalty Trust")</f>
        <v>0</v>
      </c>
      <c r="C128" s="1" t="s">
        <v>264</v>
      </c>
      <c r="D128" s="3">
        <v>2.06</v>
      </c>
      <c r="E128" s="3">
        <v>2.28</v>
      </c>
      <c r="F128" s="3">
        <v>1.76</v>
      </c>
      <c r="G128" s="4">
        <v>1.295454545454545</v>
      </c>
      <c r="H128" s="4">
        <v>0.09649122807017545</v>
      </c>
      <c r="I128" s="4">
        <v>-0.05045497179410741</v>
      </c>
      <c r="J128" s="4">
        <v>0.08</v>
      </c>
      <c r="K128" s="4">
        <v>0.1173634273109652</v>
      </c>
      <c r="L128" s="1" t="s">
        <v>270</v>
      </c>
      <c r="M128" s="5">
        <v>10.36363636363636</v>
      </c>
      <c r="N128" s="3">
        <v>0.22</v>
      </c>
      <c r="O128" s="3">
        <v>0.22</v>
      </c>
      <c r="P128" s="4">
        <v>1</v>
      </c>
      <c r="Q128" s="1">
        <v>0</v>
      </c>
      <c r="R128" s="4">
        <v>0.07781806771272581</v>
      </c>
      <c r="T128" s="1" t="s">
        <v>335</v>
      </c>
      <c r="U128" s="1" t="s">
        <v>336</v>
      </c>
      <c r="V128" s="1" t="s">
        <v>340</v>
      </c>
      <c r="W128" s="6" t="s">
        <v>351</v>
      </c>
      <c r="X128" s="7">
        <v>47.625</v>
      </c>
      <c r="Y128" s="10">
        <v>46168</v>
      </c>
      <c r="Z128" s="1" t="s">
        <v>354</v>
      </c>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row>
    <row r="129" spans="1:52">
      <c r="A129" s="8" t="s">
        <v>153</v>
      </c>
      <c r="B129" s="2">
        <f>HYPERLINK("https://www.suredividend.com/sure-analysis-GLPI/","Gaming and Leisure Properties Inc")</f>
        <v>0</v>
      </c>
      <c r="C129" s="1" t="s">
        <v>263</v>
      </c>
      <c r="D129" s="3">
        <v>48</v>
      </c>
      <c r="E129" s="3">
        <v>45.25</v>
      </c>
      <c r="F129" s="3">
        <v>51</v>
      </c>
      <c r="G129" s="4">
        <v>0.8872549019607843</v>
      </c>
      <c r="H129" s="4">
        <v>0.07248618784530386</v>
      </c>
      <c r="I129" s="4">
        <v>0.02421308164666613</v>
      </c>
      <c r="J129" s="4">
        <v>0.035</v>
      </c>
      <c r="K129" s="4">
        <v>0.1149909926747079</v>
      </c>
      <c r="L129" s="1" t="s">
        <v>270</v>
      </c>
      <c r="M129" s="5">
        <v>11.03658536585366</v>
      </c>
      <c r="N129" s="3">
        <v>4.1</v>
      </c>
      <c r="O129" s="3">
        <v>3.28</v>
      </c>
      <c r="P129" s="4">
        <v>0.8</v>
      </c>
      <c r="Q129" s="1">
        <v>7</v>
      </c>
      <c r="R129" s="4">
        <v>0.01992196624507558</v>
      </c>
      <c r="S129" s="1" t="s">
        <v>315</v>
      </c>
      <c r="T129" s="1" t="s">
        <v>332</v>
      </c>
      <c r="U129" s="1" t="s">
        <v>338</v>
      </c>
      <c r="V129" s="1" t="s">
        <v>340</v>
      </c>
      <c r="W129" s="6" t="s">
        <v>350</v>
      </c>
      <c r="X129" s="7">
        <v>12761.976155</v>
      </c>
      <c r="Y129" s="10">
        <v>46149</v>
      </c>
      <c r="Z129" s="1" t="s">
        <v>357</v>
      </c>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row>
    <row r="130" spans="1:52">
      <c r="A130" s="8" t="s">
        <v>154</v>
      </c>
      <c r="B130" s="2">
        <f>HYPERLINK("https://www.suredividend.com/sure-analysis-PSEC/","Prospect Capital Corp")</f>
        <v>0</v>
      </c>
      <c r="C130" s="1" t="s">
        <v>264</v>
      </c>
      <c r="D130" s="3">
        <v>2.41</v>
      </c>
      <c r="E130" s="3">
        <v>2.25</v>
      </c>
      <c r="F130" s="3">
        <v>2.53</v>
      </c>
      <c r="G130" s="4">
        <v>0.8893280632411068</v>
      </c>
      <c r="H130" s="4">
        <v>0.1866666666666666</v>
      </c>
      <c r="I130" s="4">
        <v>0.02373511592926469</v>
      </c>
      <c r="J130" s="4">
        <v>-0.05</v>
      </c>
      <c r="K130" s="4">
        <v>0.1147941857580608</v>
      </c>
      <c r="L130" s="1" t="s">
        <v>270</v>
      </c>
      <c r="M130" s="5">
        <v>4.891304347826087</v>
      </c>
      <c r="N130" s="3">
        <v>0.46</v>
      </c>
      <c r="O130" s="3">
        <v>0.42</v>
      </c>
      <c r="P130" s="4">
        <v>0.9130434782608695</v>
      </c>
      <c r="Q130" s="1">
        <v>0</v>
      </c>
      <c r="R130" s="4">
        <v>-0.03035973390442093</v>
      </c>
      <c r="S130" s="1" t="s">
        <v>325</v>
      </c>
      <c r="T130" s="1" t="s">
        <v>335</v>
      </c>
      <c r="U130" s="1" t="s">
        <v>339</v>
      </c>
      <c r="V130" s="1" t="s">
        <v>340</v>
      </c>
      <c r="W130" s="6" t="s">
        <v>342</v>
      </c>
      <c r="X130" s="7">
        <v>1119.752104</v>
      </c>
      <c r="Y130" s="10">
        <v>46174</v>
      </c>
      <c r="Z130" s="1" t="s">
        <v>353</v>
      </c>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row>
    <row r="131" spans="1:52">
      <c r="A131" s="8" t="s">
        <v>155</v>
      </c>
      <c r="B131" s="2">
        <f>HYPERLINK("https://www.suredividend.com/sure-analysis-FCPT/","Four Corners Property Trust Inc")</f>
        <v>0</v>
      </c>
      <c r="C131" s="1" t="s">
        <v>263</v>
      </c>
      <c r="D131" s="3">
        <v>25</v>
      </c>
      <c r="E131" s="3">
        <v>25.02</v>
      </c>
      <c r="F131" s="3">
        <v>30</v>
      </c>
      <c r="G131" s="4">
        <v>0.834</v>
      </c>
      <c r="H131" s="4">
        <v>0.05915267785771383</v>
      </c>
      <c r="I131" s="4">
        <v>0.0369714269757988</v>
      </c>
      <c r="J131" s="4">
        <v>0.03</v>
      </c>
      <c r="K131" s="4">
        <v>0.113784559402663</v>
      </c>
      <c r="L131" s="1" t="s">
        <v>270</v>
      </c>
      <c r="M131" s="5">
        <v>14.37931034482759</v>
      </c>
      <c r="N131" s="3">
        <v>1.74</v>
      </c>
      <c r="O131" s="3">
        <v>1.48</v>
      </c>
      <c r="P131" s="4">
        <v>0.8505747126436781</v>
      </c>
      <c r="Q131" s="1">
        <v>11</v>
      </c>
      <c r="R131" s="4">
        <v>0.03051269507716325</v>
      </c>
      <c r="S131" s="1" t="s">
        <v>274</v>
      </c>
      <c r="T131" s="1" t="s">
        <v>335</v>
      </c>
      <c r="U131" s="1" t="s">
        <v>338</v>
      </c>
      <c r="V131" s="1" t="s">
        <v>340</v>
      </c>
      <c r="W131" s="6" t="s">
        <v>350</v>
      </c>
      <c r="X131" s="7">
        <v>2745.924909</v>
      </c>
      <c r="Y131" s="10">
        <v>46186</v>
      </c>
      <c r="Z131" s="1" t="s">
        <v>359</v>
      </c>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row>
    <row r="132" spans="1:52">
      <c r="A132" s="8" t="s">
        <v>156</v>
      </c>
      <c r="B132" s="2">
        <f>HYPERLINK("https://www.suredividend.com/sure-analysis-EPR/","EPR Properties")</f>
        <v>0</v>
      </c>
      <c r="C132" s="1" t="s">
        <v>263</v>
      </c>
      <c r="D132" s="3">
        <v>58</v>
      </c>
      <c r="E132" s="3">
        <v>59.38</v>
      </c>
      <c r="F132" s="3">
        <v>63</v>
      </c>
      <c r="G132" s="4">
        <v>0.9425396825396826</v>
      </c>
      <c r="H132" s="4">
        <v>0.0626473560121253</v>
      </c>
      <c r="I132" s="4">
        <v>0.01190576749996852</v>
      </c>
      <c r="J132" s="4">
        <v>0.05</v>
      </c>
      <c r="K132" s="4">
        <v>0.1115096064982211</v>
      </c>
      <c r="L132" s="1" t="s">
        <v>270</v>
      </c>
      <c r="M132" s="5">
        <v>10.8954128440367</v>
      </c>
      <c r="N132" s="3">
        <v>5.45</v>
      </c>
      <c r="O132" s="3">
        <v>3.72</v>
      </c>
      <c r="P132" s="4">
        <v>0.6825688073394496</v>
      </c>
      <c r="Q132" s="1">
        <v>5</v>
      </c>
      <c r="R132" s="4">
        <v>0.02988057319651882</v>
      </c>
      <c r="S132" s="1" t="s">
        <v>287</v>
      </c>
      <c r="T132" s="1" t="s">
        <v>335</v>
      </c>
      <c r="U132" s="1" t="s">
        <v>338</v>
      </c>
      <c r="V132" s="1" t="s">
        <v>340</v>
      </c>
      <c r="W132" s="6" t="s">
        <v>350</v>
      </c>
      <c r="X132" s="7">
        <v>4517.012601</v>
      </c>
      <c r="Y132" s="10">
        <v>46183</v>
      </c>
      <c r="Z132" s="1" t="s">
        <v>353</v>
      </c>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row>
    <row r="133" spans="1:52">
      <c r="A133" s="8" t="s">
        <v>157</v>
      </c>
      <c r="B133" s="2">
        <f>HYPERLINK("https://www.suredividend.com/sure-analysis-SCM/","Stellus Capital Investment Corp")</f>
        <v>0</v>
      </c>
      <c r="C133" s="1" t="s">
        <v>264</v>
      </c>
      <c r="D133" s="3">
        <v>8.76</v>
      </c>
      <c r="E133" s="3">
        <v>8.039999999999999</v>
      </c>
      <c r="F133" s="3">
        <v>8.24</v>
      </c>
      <c r="G133" s="4">
        <v>0.9757281553398057</v>
      </c>
      <c r="H133" s="4">
        <v>0.1691542288557214</v>
      </c>
      <c r="I133" s="4">
        <v>0.004926346887265343</v>
      </c>
      <c r="J133" s="4">
        <v>-0.01</v>
      </c>
      <c r="K133" s="4">
        <v>0.1094108602293558</v>
      </c>
      <c r="L133" s="1" t="s">
        <v>270</v>
      </c>
      <c r="M133" s="5">
        <v>7.805825242718446</v>
      </c>
      <c r="N133" s="3">
        <v>1.03</v>
      </c>
      <c r="O133" s="3">
        <v>1.36</v>
      </c>
      <c r="P133" s="4">
        <v>1.320388349514563</v>
      </c>
      <c r="Q133" s="1">
        <v>0</v>
      </c>
      <c r="R133" s="4">
        <v>-0.05964417672875355</v>
      </c>
      <c r="S133" s="1" t="s">
        <v>274</v>
      </c>
      <c r="T133" s="1" t="s">
        <v>335</v>
      </c>
      <c r="U133" s="1" t="s">
        <v>339</v>
      </c>
      <c r="V133" s="1" t="s">
        <v>340</v>
      </c>
      <c r="W133" s="6" t="s">
        <v>342</v>
      </c>
      <c r="X133" s="7">
        <v>231.867505</v>
      </c>
      <c r="Y133" s="10">
        <v>46183</v>
      </c>
      <c r="Z133" s="1" t="s">
        <v>353</v>
      </c>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row>
    <row r="134" spans="1:52">
      <c r="A134" s="8" t="s">
        <v>158</v>
      </c>
      <c r="B134" s="2">
        <f>HYPERLINK("https://www.suredividend.com/sure-analysis-DX/","Dynex Capital, Inc.")</f>
        <v>0</v>
      </c>
      <c r="C134" s="1" t="s">
        <v>263</v>
      </c>
      <c r="D134" s="3">
        <v>13.78</v>
      </c>
      <c r="E134" s="3">
        <v>13.09</v>
      </c>
      <c r="F134" s="3">
        <v>12.15</v>
      </c>
      <c r="G134" s="4">
        <v>1.077366255144033</v>
      </c>
      <c r="H134" s="4">
        <v>0.1558441558441558</v>
      </c>
      <c r="I134" s="4">
        <v>-0.01479336888346883</v>
      </c>
      <c r="J134" s="4">
        <v>0.02</v>
      </c>
      <c r="K134" s="4">
        <v>0.1086972216253779</v>
      </c>
      <c r="L134" s="1" t="s">
        <v>270</v>
      </c>
      <c r="M134" s="5">
        <v>9.696296296296296</v>
      </c>
      <c r="N134" s="3">
        <v>1.35</v>
      </c>
      <c r="O134" s="3">
        <v>2.04</v>
      </c>
      <c r="P134" s="4">
        <v>1.511111111111111</v>
      </c>
      <c r="Q134" s="1">
        <v>2</v>
      </c>
      <c r="R134" s="4">
        <v>-0.05964417672875355</v>
      </c>
      <c r="S134" s="1" t="s">
        <v>303</v>
      </c>
      <c r="T134" s="1" t="s">
        <v>335</v>
      </c>
      <c r="U134" s="1" t="s">
        <v>338</v>
      </c>
      <c r="V134" s="1" t="s">
        <v>340</v>
      </c>
      <c r="W134" s="6" t="s">
        <v>350</v>
      </c>
      <c r="X134" s="7">
        <v>2816.325373</v>
      </c>
      <c r="Y134" s="10">
        <v>46141</v>
      </c>
      <c r="Z134" s="1" t="s">
        <v>357</v>
      </c>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row>
    <row r="135" spans="1:52">
      <c r="A135" s="8" t="s">
        <v>159</v>
      </c>
      <c r="B135" s="2">
        <f>HYPERLINK("https://www.suredividend.com/sure-analysis-AAT/","American Assets Trust Inc")</f>
        <v>0</v>
      </c>
      <c r="C135" s="1" t="s">
        <v>263</v>
      </c>
      <c r="D135" s="3">
        <v>21</v>
      </c>
      <c r="E135" s="3">
        <v>24.1</v>
      </c>
      <c r="F135" s="3">
        <v>29</v>
      </c>
      <c r="G135" s="4">
        <v>0.8310344827586207</v>
      </c>
      <c r="H135" s="4">
        <v>0.05643153526970954</v>
      </c>
      <c r="I135" s="4">
        <v>0.03771045204605183</v>
      </c>
      <c r="J135" s="4">
        <v>0.02</v>
      </c>
      <c r="K135" s="4">
        <v>0.1013751863547143</v>
      </c>
      <c r="L135" s="1" t="s">
        <v>270</v>
      </c>
      <c r="M135" s="5">
        <v>11.75609756097561</v>
      </c>
      <c r="N135" s="3">
        <v>2.05</v>
      </c>
      <c r="O135" s="3">
        <v>1.36</v>
      </c>
      <c r="P135" s="4">
        <v>0.6634146341463416</v>
      </c>
      <c r="Q135" s="1">
        <v>5</v>
      </c>
      <c r="R135" s="4">
        <v>0.01149727415513624</v>
      </c>
      <c r="S135" s="1" t="s">
        <v>314</v>
      </c>
      <c r="T135" s="1" t="s">
        <v>332</v>
      </c>
      <c r="U135" s="1" t="s">
        <v>338</v>
      </c>
      <c r="V135" s="1" t="s">
        <v>340</v>
      </c>
      <c r="W135" s="6" t="s">
        <v>350</v>
      </c>
      <c r="X135" s="7">
        <v>1508.375298</v>
      </c>
      <c r="Y135" s="10">
        <v>46146</v>
      </c>
      <c r="Z135" s="1" t="s">
        <v>362</v>
      </c>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row>
    <row r="136" spans="1:52">
      <c r="A136" s="8" t="s">
        <v>160</v>
      </c>
      <c r="B136" s="2">
        <f>HYPERLINK("https://www.suredividend.com/sure-analysis-NXST/","Nexstar Media Group Inc")</f>
        <v>0</v>
      </c>
      <c r="C136" s="1" t="s">
        <v>263</v>
      </c>
      <c r="D136" s="3">
        <v>189</v>
      </c>
      <c r="E136" s="3">
        <v>154.65</v>
      </c>
      <c r="F136" s="3">
        <v>216</v>
      </c>
      <c r="G136" s="4">
        <v>0.7159722222222222</v>
      </c>
      <c r="H136" s="4">
        <v>0.0481086323957323</v>
      </c>
      <c r="I136" s="4">
        <v>0.06910599624944069</v>
      </c>
      <c r="J136" s="4">
        <v>-0.01</v>
      </c>
      <c r="K136" s="4">
        <v>0.0995821321379089</v>
      </c>
      <c r="L136" s="1" t="s">
        <v>270</v>
      </c>
      <c r="M136" s="5">
        <v>6.443750000000001</v>
      </c>
      <c r="N136" s="3">
        <v>24</v>
      </c>
      <c r="O136" s="3">
        <v>7.44</v>
      </c>
      <c r="P136" s="4">
        <v>0.31</v>
      </c>
      <c r="Q136" s="1">
        <v>12</v>
      </c>
      <c r="R136" s="4">
        <v>0.0500987317136008</v>
      </c>
      <c r="S136" s="1" t="s">
        <v>301</v>
      </c>
      <c r="T136" s="1" t="s">
        <v>332</v>
      </c>
      <c r="U136" s="1" t="s">
        <v>336</v>
      </c>
      <c r="V136" s="1" t="s">
        <v>340</v>
      </c>
      <c r="W136" s="6" t="s">
        <v>346</v>
      </c>
      <c r="X136" s="7">
        <v>4724.377886</v>
      </c>
      <c r="Y136" s="10">
        <v>46165</v>
      </c>
      <c r="Z136" s="1" t="s">
        <v>363</v>
      </c>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row>
    <row r="137" spans="1:52">
      <c r="A137" s="8" t="s">
        <v>161</v>
      </c>
      <c r="B137" s="2">
        <f>HYPERLINK("https://www.suredividend.com/sure-analysis-BREUF/","Bridgemarq Real Estate Services Inc.")</f>
        <v>0</v>
      </c>
      <c r="C137" s="1" t="s">
        <v>264</v>
      </c>
      <c r="D137" s="3">
        <v>9.67</v>
      </c>
      <c r="E137" s="3">
        <v>9.34</v>
      </c>
      <c r="F137" s="3">
        <v>10</v>
      </c>
      <c r="G137" s="4">
        <v>0.9339999999999999</v>
      </c>
      <c r="H137" s="4">
        <v>0.1049250535331906</v>
      </c>
      <c r="I137" s="4">
        <v>0.01374943402674988</v>
      </c>
      <c r="J137" s="4">
        <v>0</v>
      </c>
      <c r="K137" s="4">
        <v>0.0979128761188901</v>
      </c>
      <c r="L137" s="1" t="s">
        <v>270</v>
      </c>
      <c r="M137" s="5">
        <v>9.34</v>
      </c>
      <c r="N137" s="3">
        <v>1</v>
      </c>
      <c r="O137" s="3">
        <v>0.98</v>
      </c>
      <c r="P137" s="4">
        <v>0.98</v>
      </c>
      <c r="Q137" s="1">
        <v>0</v>
      </c>
      <c r="R137" s="4">
        <v>0</v>
      </c>
      <c r="T137" s="1" t="s">
        <v>335</v>
      </c>
      <c r="U137" s="1" t="s">
        <v>338</v>
      </c>
      <c r="V137" s="1" t="s">
        <v>341</v>
      </c>
      <c r="W137" s="6" t="s">
        <v>350</v>
      </c>
      <c r="Y137" s="10">
        <v>46163</v>
      </c>
      <c r="Z137" s="1" t="s">
        <v>358</v>
      </c>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row>
    <row r="138" spans="1:52">
      <c r="A138" s="8" t="s">
        <v>162</v>
      </c>
      <c r="B138" s="2">
        <f>HYPERLINK("https://www.suredividend.com/sure-analysis-BEP/","Brookfield Renewable Partners LP")</f>
        <v>0</v>
      </c>
      <c r="C138" s="1" t="s">
        <v>263</v>
      </c>
      <c r="D138" s="3">
        <v>34</v>
      </c>
      <c r="E138" s="3">
        <v>35.05</v>
      </c>
      <c r="F138" s="3">
        <v>35</v>
      </c>
      <c r="G138" s="4">
        <v>1.001428571428571</v>
      </c>
      <c r="H138" s="4">
        <v>0.04479315263908702</v>
      </c>
      <c r="I138" s="4">
        <v>-0.000285469644021985</v>
      </c>
      <c r="J138" s="4">
        <v>0.06</v>
      </c>
      <c r="K138" s="4">
        <v>0.09642977950789411</v>
      </c>
      <c r="L138" s="1" t="s">
        <v>270</v>
      </c>
      <c r="M138" s="5">
        <v>15.93181818181818</v>
      </c>
      <c r="N138" s="3">
        <v>2.2</v>
      </c>
      <c r="O138" s="3">
        <v>1.57</v>
      </c>
      <c r="P138" s="4">
        <v>0.7136363636363636</v>
      </c>
      <c r="Q138" s="1">
        <v>5</v>
      </c>
      <c r="R138" s="4">
        <v>0.03448133310163448</v>
      </c>
      <c r="S138" s="1" t="s">
        <v>287</v>
      </c>
      <c r="T138" s="1" t="s">
        <v>332</v>
      </c>
      <c r="U138" s="1" t="s">
        <v>337</v>
      </c>
      <c r="V138" s="1" t="s">
        <v>341</v>
      </c>
      <c r="W138" s="6" t="s">
        <v>349</v>
      </c>
      <c r="X138" s="7">
        <v>2712.330853</v>
      </c>
      <c r="Y138" s="10">
        <v>46150</v>
      </c>
      <c r="Z138" s="1" t="s">
        <v>362</v>
      </c>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row>
    <row r="139" spans="1:52">
      <c r="A139" s="8" t="s">
        <v>163</v>
      </c>
      <c r="B139" s="2">
        <f>HYPERLINK("https://www.suredividend.com/sure-analysis-CSWC/","Capital Southwest Corp.")</f>
        <v>0</v>
      </c>
      <c r="C139" s="1" t="s">
        <v>263</v>
      </c>
      <c r="D139" s="3">
        <v>22.77</v>
      </c>
      <c r="E139" s="3">
        <v>23.25</v>
      </c>
      <c r="F139" s="3">
        <v>23.5</v>
      </c>
      <c r="G139" s="4">
        <v>0.9893617021276596</v>
      </c>
      <c r="H139" s="4">
        <v>0.09978494623655913</v>
      </c>
      <c r="I139" s="4">
        <v>0.002141347239642322</v>
      </c>
      <c r="J139" s="4">
        <v>0.01</v>
      </c>
      <c r="K139" s="4">
        <v>0.09533047424702645</v>
      </c>
      <c r="L139" s="1" t="s">
        <v>270</v>
      </c>
      <c r="M139" s="5">
        <v>9.893617021276595</v>
      </c>
      <c r="N139" s="3">
        <v>2.35</v>
      </c>
      <c r="O139" s="3">
        <v>2.32</v>
      </c>
      <c r="P139" s="4">
        <v>0.9872340425531914</v>
      </c>
      <c r="Q139" s="1">
        <v>8</v>
      </c>
      <c r="R139" s="4">
        <v>0.01013720758985226</v>
      </c>
      <c r="S139" s="1" t="s">
        <v>282</v>
      </c>
      <c r="T139" s="1" t="s">
        <v>335</v>
      </c>
      <c r="U139" s="1" t="s">
        <v>339</v>
      </c>
      <c r="V139" s="1" t="s">
        <v>340</v>
      </c>
      <c r="W139" s="6" t="s">
        <v>342</v>
      </c>
      <c r="X139" s="7">
        <v>1447.878916</v>
      </c>
      <c r="Y139" s="10">
        <v>46168</v>
      </c>
      <c r="Z139" s="1" t="s">
        <v>358</v>
      </c>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row>
    <row r="140" spans="1:52">
      <c r="A140" s="8" t="s">
        <v>164</v>
      </c>
      <c r="B140" s="2">
        <f>HYPERLINK("https://www.suredividend.com/sure-analysis-EFC/","Ellington Financial Inc.")</f>
        <v>0</v>
      </c>
      <c r="C140" s="1" t="s">
        <v>264</v>
      </c>
      <c r="D140" s="3">
        <v>13.51</v>
      </c>
      <c r="E140" s="3">
        <v>13.6</v>
      </c>
      <c r="F140" s="3">
        <v>13.6</v>
      </c>
      <c r="G140" s="4">
        <v>1</v>
      </c>
      <c r="H140" s="4">
        <v>0.1147058823529412</v>
      </c>
      <c r="I140" s="4">
        <v>0</v>
      </c>
      <c r="J140" s="4">
        <v>0.01</v>
      </c>
      <c r="K140" s="4">
        <v>0.0951096101147777</v>
      </c>
      <c r="L140" s="1" t="s">
        <v>270</v>
      </c>
      <c r="M140" s="5">
        <v>8.5</v>
      </c>
      <c r="N140" s="3">
        <v>1.6</v>
      </c>
      <c r="O140" s="3">
        <v>1.56</v>
      </c>
      <c r="P140" s="4">
        <v>0.975</v>
      </c>
      <c r="Q140" s="1">
        <v>0</v>
      </c>
      <c r="R140" s="4">
        <v>-0.02994571143662272</v>
      </c>
      <c r="S140" s="1" t="s">
        <v>287</v>
      </c>
      <c r="T140" s="1" t="s">
        <v>335</v>
      </c>
      <c r="U140" s="1" t="s">
        <v>336</v>
      </c>
      <c r="V140" s="1" t="s">
        <v>340</v>
      </c>
      <c r="W140" s="6" t="s">
        <v>342</v>
      </c>
      <c r="X140" s="7">
        <v>1711.622968</v>
      </c>
      <c r="Y140" s="10">
        <v>46149</v>
      </c>
      <c r="Z140" s="1" t="s">
        <v>358</v>
      </c>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row>
    <row r="141" spans="1:52">
      <c r="A141" s="8" t="s">
        <v>165</v>
      </c>
      <c r="B141" s="2">
        <f>HYPERLINK("https://www.suredividend.com/sure-analysis-BSRTF/","BSR Real Estate Investment Trust")</f>
        <v>0</v>
      </c>
      <c r="C141" s="1" t="s">
        <v>263</v>
      </c>
      <c r="D141" s="3">
        <v>11.82</v>
      </c>
      <c r="E141" s="3">
        <v>11.93</v>
      </c>
      <c r="F141" s="3">
        <v>11.56</v>
      </c>
      <c r="G141" s="4">
        <v>1.032006920415225</v>
      </c>
      <c r="H141" s="4">
        <v>0.04694048616932105</v>
      </c>
      <c r="I141" s="4">
        <v>-0.006281264432959732</v>
      </c>
      <c r="J141" s="4">
        <v>0.06</v>
      </c>
      <c r="K141" s="4">
        <v>0.0931267584027915</v>
      </c>
      <c r="L141" s="1" t="s">
        <v>270</v>
      </c>
      <c r="M141" s="5">
        <v>17.54411764705882</v>
      </c>
      <c r="N141" s="3">
        <v>0.68</v>
      </c>
      <c r="O141" s="3">
        <v>0.5600000000000001</v>
      </c>
      <c r="P141" s="4">
        <v>0.823529411764706</v>
      </c>
      <c r="Q141" s="1">
        <v>3</v>
      </c>
      <c r="R141" s="4">
        <v>0.03959498820755258</v>
      </c>
      <c r="T141" s="1" t="s">
        <v>335</v>
      </c>
      <c r="U141" s="1" t="s">
        <v>338</v>
      </c>
      <c r="V141" s="1" t="s">
        <v>341</v>
      </c>
      <c r="W141" s="6" t="s">
        <v>350</v>
      </c>
      <c r="Y141" s="10">
        <v>46180</v>
      </c>
      <c r="Z141" s="1" t="s">
        <v>357</v>
      </c>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row>
    <row r="142" spans="1:52">
      <c r="A142" s="8" t="s">
        <v>166</v>
      </c>
      <c r="B142" s="2">
        <f>HYPERLINK("https://www.suredividend.com/sure-analysis-ORC/","Orchid Island Capital Inc")</f>
        <v>0</v>
      </c>
      <c r="C142" s="1" t="s">
        <v>264</v>
      </c>
      <c r="D142" s="3">
        <v>6.69</v>
      </c>
      <c r="E142" s="3">
        <v>6.86</v>
      </c>
      <c r="F142" s="3">
        <v>7.15</v>
      </c>
      <c r="G142" s="4">
        <v>0.9594405594405594</v>
      </c>
      <c r="H142" s="4">
        <v>0.1749271137026239</v>
      </c>
      <c r="I142" s="4">
        <v>0.00831536517384901</v>
      </c>
      <c r="J142" s="4">
        <v>-0.05</v>
      </c>
      <c r="K142" s="4">
        <v>0.09287786370155549</v>
      </c>
      <c r="L142" s="1" t="s">
        <v>270</v>
      </c>
      <c r="M142" s="5">
        <v>4.797202797202798</v>
      </c>
      <c r="N142" s="3">
        <v>1.43</v>
      </c>
      <c r="O142" s="3">
        <v>1.2</v>
      </c>
      <c r="P142" s="4">
        <v>0.8391608391608392</v>
      </c>
      <c r="Q142" s="1">
        <v>0</v>
      </c>
      <c r="R142" s="4">
        <v>-0.04970085067101349</v>
      </c>
      <c r="S142" s="1" t="s">
        <v>287</v>
      </c>
      <c r="T142" s="1" t="s">
        <v>335</v>
      </c>
      <c r="U142" s="1" t="s">
        <v>338</v>
      </c>
      <c r="V142" s="1" t="s">
        <v>340</v>
      </c>
      <c r="W142" s="6" t="s">
        <v>350</v>
      </c>
      <c r="X142" s="7">
        <v>1376.80355</v>
      </c>
      <c r="Y142" s="10">
        <v>46196</v>
      </c>
      <c r="Z142" s="1" t="s">
        <v>357</v>
      </c>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row>
    <row r="143" spans="1:52">
      <c r="A143" s="8" t="s">
        <v>167</v>
      </c>
      <c r="B143" s="2">
        <f>HYPERLINK("https://www.suredividend.com/sure-analysis-TTE/","TotalEnergies SE")</f>
        <v>0</v>
      </c>
      <c r="C143" s="1" t="s">
        <v>263</v>
      </c>
      <c r="D143" s="3">
        <v>91</v>
      </c>
      <c r="E143" s="3">
        <v>78</v>
      </c>
      <c r="F143" s="3">
        <v>138</v>
      </c>
      <c r="G143" s="4">
        <v>0.5652173913043478</v>
      </c>
      <c r="H143" s="4">
        <v>0.05025641025641026</v>
      </c>
      <c r="I143" s="4">
        <v>0.1208742617958329</v>
      </c>
      <c r="J143" s="4">
        <v>-0.06</v>
      </c>
      <c r="K143" s="4">
        <v>0.09264302984943895</v>
      </c>
      <c r="L143" s="1" t="s">
        <v>270</v>
      </c>
      <c r="M143" s="5">
        <v>6.782608695652174</v>
      </c>
      <c r="N143" s="3">
        <v>11.5</v>
      </c>
      <c r="O143" s="3">
        <v>3.92</v>
      </c>
      <c r="P143" s="4">
        <v>0.3408695652173913</v>
      </c>
      <c r="Q143" s="1">
        <v>4</v>
      </c>
      <c r="R143" s="4">
        <v>0.01000199077119301</v>
      </c>
      <c r="S143" s="1" t="s">
        <v>326</v>
      </c>
      <c r="T143" s="1" t="s">
        <v>332</v>
      </c>
      <c r="U143" s="1" t="s">
        <v>336</v>
      </c>
      <c r="V143" s="1" t="s">
        <v>341</v>
      </c>
      <c r="W143" s="6" t="s">
        <v>351</v>
      </c>
      <c r="X143" s="7">
        <v>172731.516306</v>
      </c>
      <c r="Y143" s="10">
        <v>46157</v>
      </c>
      <c r="Z143" s="1" t="s">
        <v>362</v>
      </c>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row>
    <row r="144" spans="1:52">
      <c r="A144" s="8" t="s">
        <v>168</v>
      </c>
      <c r="B144" s="2">
        <f>HYPERLINK("https://www.suredividend.com/sure-analysis-PVL/","Permianville Royalty Trust")</f>
        <v>0</v>
      </c>
      <c r="C144" s="1" t="s">
        <v>263</v>
      </c>
      <c r="D144" s="3">
        <v>1.96</v>
      </c>
      <c r="E144" s="3">
        <v>1.72</v>
      </c>
      <c r="F144" s="3">
        <v>1.3</v>
      </c>
      <c r="G144" s="4">
        <v>1.323076923076923</v>
      </c>
      <c r="H144" s="4">
        <v>0.07558139534883722</v>
      </c>
      <c r="I144" s="4">
        <v>-0.05445330475077881</v>
      </c>
      <c r="J144" s="4">
        <v>0.08</v>
      </c>
      <c r="K144" s="4">
        <v>0.09241165907304261</v>
      </c>
      <c r="L144" s="1" t="s">
        <v>270</v>
      </c>
      <c r="M144" s="5">
        <v>13.23076923076923</v>
      </c>
      <c r="N144" s="3">
        <v>0.13</v>
      </c>
      <c r="O144" s="3">
        <v>0.13</v>
      </c>
      <c r="P144" s="4">
        <v>1</v>
      </c>
      <c r="Q144" s="1">
        <v>1</v>
      </c>
      <c r="R144" s="4">
        <v>0.05511819868320456</v>
      </c>
      <c r="S144" s="1" t="s">
        <v>287</v>
      </c>
      <c r="T144" s="1" t="s">
        <v>335</v>
      </c>
      <c r="U144" s="1" t="s">
        <v>336</v>
      </c>
      <c r="V144" s="1" t="s">
        <v>340</v>
      </c>
      <c r="W144" s="6" t="s">
        <v>351</v>
      </c>
      <c r="Y144" s="10">
        <v>46162</v>
      </c>
      <c r="Z144" s="1" t="s">
        <v>362</v>
      </c>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row>
    <row r="145" spans="1:52">
      <c r="A145" s="8" t="s">
        <v>169</v>
      </c>
      <c r="B145" s="2">
        <f>HYPERLINK("https://www.suredividend.com/sure-analysis-GLAD/","Gladstone Capital Corp.")</f>
        <v>0</v>
      </c>
      <c r="C145" s="1" t="s">
        <v>264</v>
      </c>
      <c r="D145" s="3" t="s">
        <v>265</v>
      </c>
      <c r="E145" s="3">
        <v>18.74</v>
      </c>
      <c r="F145" s="3">
        <v>19</v>
      </c>
      <c r="G145" s="4">
        <v>0.9863157894736841</v>
      </c>
      <c r="H145" s="4">
        <v>0.096051227321238</v>
      </c>
      <c r="I145" s="4">
        <v>0.002759541014306865</v>
      </c>
      <c r="J145" s="4">
        <v>0.01</v>
      </c>
      <c r="K145" s="4">
        <v>0.09214501802099351</v>
      </c>
      <c r="L145" s="1" t="s">
        <v>270</v>
      </c>
      <c r="M145" s="5">
        <v>9.863157894736842</v>
      </c>
      <c r="N145" s="3">
        <v>1.9</v>
      </c>
      <c r="O145" s="3">
        <v>1.8</v>
      </c>
      <c r="P145" s="4">
        <v>0.9473684210526316</v>
      </c>
      <c r="Q145" s="1">
        <v>0</v>
      </c>
      <c r="R145" s="4">
        <v>0.005494836375650625</v>
      </c>
      <c r="S145" s="1" t="s">
        <v>327</v>
      </c>
      <c r="T145" s="1" t="s">
        <v>335</v>
      </c>
      <c r="U145" s="1" t="s">
        <v>339</v>
      </c>
      <c r="V145" s="1" t="s">
        <v>340</v>
      </c>
      <c r="W145" s="6" t="s">
        <v>342</v>
      </c>
      <c r="X145" s="7">
        <v>423.394113</v>
      </c>
      <c r="Y145" s="10">
        <v>46174</v>
      </c>
      <c r="Z145" s="1" t="s">
        <v>353</v>
      </c>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row>
    <row r="146" spans="1:52">
      <c r="A146" s="8" t="s">
        <v>170</v>
      </c>
      <c r="B146" s="2">
        <f>HYPERLINK("https://www.suredividend.com/sure-analysis-CWEN/","Clearway Energy Inc")</f>
        <v>0</v>
      </c>
      <c r="C146" s="1" t="s">
        <v>263</v>
      </c>
      <c r="D146" s="3">
        <v>38</v>
      </c>
      <c r="E146" s="3">
        <v>36.83</v>
      </c>
      <c r="F146" s="3">
        <v>41</v>
      </c>
      <c r="G146" s="4">
        <v>0.8982926829268292</v>
      </c>
      <c r="H146" s="4">
        <v>0.05077382568558241</v>
      </c>
      <c r="I146" s="4">
        <v>0.02168361271140973</v>
      </c>
      <c r="J146" s="4">
        <v>0.02</v>
      </c>
      <c r="K146" s="4">
        <v>0.08791005024522391</v>
      </c>
      <c r="L146" s="1" t="s">
        <v>270</v>
      </c>
      <c r="M146" s="5">
        <v>9.093827160493827</v>
      </c>
      <c r="N146" s="3">
        <v>4.05</v>
      </c>
      <c r="O146" s="3">
        <v>1.87</v>
      </c>
      <c r="P146" s="4">
        <v>0.4617283950617285</v>
      </c>
      <c r="Q146" s="1">
        <v>6</v>
      </c>
      <c r="R146" s="4">
        <v>0.0502949053943984</v>
      </c>
      <c r="S146" s="1" t="s">
        <v>285</v>
      </c>
      <c r="T146" s="1" t="s">
        <v>332</v>
      </c>
      <c r="U146" s="1" t="s">
        <v>336</v>
      </c>
      <c r="V146" s="1" t="s">
        <v>340</v>
      </c>
      <c r="W146" s="6" t="s">
        <v>349</v>
      </c>
      <c r="X146" s="7">
        <v>8297.000855</v>
      </c>
      <c r="Y146" s="10">
        <v>46163</v>
      </c>
      <c r="Z146" s="1" t="s">
        <v>354</v>
      </c>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row>
    <row r="147" spans="1:52">
      <c r="A147" s="8" t="s">
        <v>171</v>
      </c>
      <c r="B147" s="2">
        <f>HYPERLINK("https://www.suredividend.com/sure-analysis-IPOOF/","InPlay Oil Corp.")</f>
        <v>0</v>
      </c>
      <c r="C147" s="1" t="s">
        <v>264</v>
      </c>
      <c r="D147" s="3">
        <v>12.27</v>
      </c>
      <c r="E147" s="3">
        <v>10.13</v>
      </c>
      <c r="F147" s="3">
        <v>9</v>
      </c>
      <c r="G147" s="4">
        <v>1.125555555555556</v>
      </c>
      <c r="H147" s="4">
        <v>0.07798617966436328</v>
      </c>
      <c r="I147" s="4">
        <v>-0.02337775360949224</v>
      </c>
      <c r="J147" s="4">
        <v>0.05</v>
      </c>
      <c r="K147" s="4">
        <v>0.08789772870547874</v>
      </c>
      <c r="L147" s="1" t="s">
        <v>270</v>
      </c>
      <c r="M147" s="5">
        <v>10.13</v>
      </c>
      <c r="N147" s="3">
        <v>1</v>
      </c>
      <c r="O147" s="3">
        <v>0.79</v>
      </c>
      <c r="P147" s="4">
        <v>0.79</v>
      </c>
      <c r="Q147" s="1">
        <v>0</v>
      </c>
      <c r="R147" s="4">
        <v>0</v>
      </c>
      <c r="T147" s="1" t="s">
        <v>335</v>
      </c>
      <c r="U147" s="1" t="s">
        <v>336</v>
      </c>
      <c r="V147" s="1" t="s">
        <v>341</v>
      </c>
      <c r="W147" s="6" t="s">
        <v>351</v>
      </c>
      <c r="Y147" s="10">
        <v>46156</v>
      </c>
      <c r="Z147" s="1" t="s">
        <v>358</v>
      </c>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row>
    <row r="148" spans="1:52">
      <c r="A148" s="8" t="s">
        <v>172</v>
      </c>
      <c r="B148" s="2">
        <f>HYPERLINK("https://www.suredividend.com/sure-analysis-GONYF/","GO Residential Real Estate Investment Trust")</f>
        <v>0</v>
      </c>
      <c r="C148" s="1" t="s">
        <v>263</v>
      </c>
      <c r="D148" s="3">
        <v>10.25</v>
      </c>
      <c r="E148" s="3">
        <v>9.550000000000001</v>
      </c>
      <c r="F148" s="3">
        <v>9.800000000000001</v>
      </c>
      <c r="G148" s="4">
        <v>0.9744897959183674</v>
      </c>
      <c r="H148" s="4">
        <v>0.0481675392670157</v>
      </c>
      <c r="I148" s="4">
        <v>0.00518162465908989</v>
      </c>
      <c r="J148" s="4">
        <v>0.04</v>
      </c>
      <c r="K148" s="4">
        <v>0.08733843633171401</v>
      </c>
      <c r="L148" s="1" t="s">
        <v>270</v>
      </c>
      <c r="M148" s="5">
        <v>13.64285714285714</v>
      </c>
      <c r="N148" s="3">
        <v>0.7</v>
      </c>
      <c r="O148" s="3">
        <v>0.46</v>
      </c>
      <c r="P148" s="4">
        <v>0.6571428571428573</v>
      </c>
      <c r="Q148" s="1">
        <v>1</v>
      </c>
      <c r="R148" s="4">
        <v>0.04012620718096094</v>
      </c>
      <c r="T148" s="1" t="s">
        <v>335</v>
      </c>
      <c r="U148" s="1" t="s">
        <v>338</v>
      </c>
      <c r="V148" s="1" t="s">
        <v>340</v>
      </c>
      <c r="W148" s="6" t="s">
        <v>350</v>
      </c>
      <c r="Y148" s="10">
        <v>46167</v>
      </c>
      <c r="Z148" s="1" t="s">
        <v>358</v>
      </c>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row>
    <row r="149" spans="1:52">
      <c r="A149" s="8" t="s">
        <v>173</v>
      </c>
      <c r="B149" s="2">
        <f>HYPERLINK("https://www.suredividend.com/sure-analysis-PAGP/","Plains GP Holdings LP")</f>
        <v>0</v>
      </c>
      <c r="C149" s="1" t="s">
        <v>263</v>
      </c>
      <c r="D149" s="3">
        <v>24</v>
      </c>
      <c r="E149" s="3">
        <v>23.515</v>
      </c>
      <c r="F149" s="3">
        <v>21</v>
      </c>
      <c r="G149" s="4">
        <v>1.119761904761905</v>
      </c>
      <c r="H149" s="4">
        <v>0.0710184988305337</v>
      </c>
      <c r="I149" s="4">
        <v>-0.02236922952633724</v>
      </c>
      <c r="J149" s="4">
        <v>0.05</v>
      </c>
      <c r="K149" s="4">
        <v>0.08681562993140712</v>
      </c>
      <c r="L149" s="1" t="s">
        <v>270</v>
      </c>
      <c r="M149" s="5">
        <v>14.88291139240506</v>
      </c>
      <c r="N149" s="3">
        <v>1.58</v>
      </c>
      <c r="O149" s="3">
        <v>1.67</v>
      </c>
      <c r="P149" s="4">
        <v>1.056962025316456</v>
      </c>
      <c r="Q149" s="1">
        <v>5</v>
      </c>
      <c r="R149" s="4">
        <v>0.01957756447762971</v>
      </c>
      <c r="T149" s="1" t="s">
        <v>332</v>
      </c>
      <c r="U149" s="1" t="s">
        <v>337</v>
      </c>
      <c r="V149" s="1" t="s">
        <v>340</v>
      </c>
      <c r="W149" s="6" t="s">
        <v>351</v>
      </c>
      <c r="X149" s="7">
        <v>4656.684038</v>
      </c>
      <c r="Y149" s="10">
        <v>46122</v>
      </c>
      <c r="Z149" s="1" t="s">
        <v>365</v>
      </c>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row>
    <row r="150" spans="1:52">
      <c r="A150" s="8" t="s">
        <v>174</v>
      </c>
      <c r="B150" s="2">
        <f>HYPERLINK("https://www.suredividend.com/sure-analysis-BBD/","Banco Bradesco S.A.")</f>
        <v>0</v>
      </c>
      <c r="C150" s="1" t="s">
        <v>264</v>
      </c>
      <c r="D150" s="3">
        <v>3.75</v>
      </c>
      <c r="E150" s="3">
        <v>3.36</v>
      </c>
      <c r="F150" s="3">
        <v>3.75</v>
      </c>
      <c r="G150" s="4">
        <v>0.896</v>
      </c>
      <c r="H150" s="4">
        <v>0.07738095238095238</v>
      </c>
      <c r="I150" s="4">
        <v>0.02220593475648402</v>
      </c>
      <c r="J150" s="4">
        <v>0</v>
      </c>
      <c r="K150" s="4">
        <v>0.08490177600028903</v>
      </c>
      <c r="L150" s="1" t="s">
        <v>270</v>
      </c>
      <c r="M150" s="5">
        <v>6.72</v>
      </c>
      <c r="N150" s="3">
        <v>0.5</v>
      </c>
      <c r="O150" s="3">
        <v>0.26</v>
      </c>
      <c r="P150" s="4">
        <v>0.52</v>
      </c>
      <c r="Q150" s="1">
        <v>0</v>
      </c>
      <c r="R150" s="4">
        <v>0</v>
      </c>
      <c r="S150" s="1" t="s">
        <v>277</v>
      </c>
      <c r="T150" s="1" t="s">
        <v>335</v>
      </c>
      <c r="U150" s="1" t="s">
        <v>336</v>
      </c>
      <c r="V150" s="1" t="s">
        <v>341</v>
      </c>
      <c r="W150" s="6" t="s">
        <v>342</v>
      </c>
      <c r="X150" s="7">
        <v>35432.990294</v>
      </c>
      <c r="Y150" s="10">
        <v>46152</v>
      </c>
      <c r="Z150" s="1" t="s">
        <v>358</v>
      </c>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row>
    <row r="151" spans="1:52">
      <c r="A151" s="8" t="s">
        <v>175</v>
      </c>
      <c r="B151" s="2">
        <f>HYPERLINK("https://www.suredividend.com/sure-analysis-SIRZF/","SIR Royalty Income Fund")</f>
        <v>0</v>
      </c>
      <c r="C151" s="1" t="s">
        <v>263</v>
      </c>
      <c r="D151" s="3">
        <v>11.29</v>
      </c>
      <c r="E151" s="3">
        <v>10.89</v>
      </c>
      <c r="F151" s="3">
        <v>10.5</v>
      </c>
      <c r="G151" s="4">
        <v>1.037142857142857</v>
      </c>
      <c r="H151" s="4">
        <v>0.08264462809917356</v>
      </c>
      <c r="I151" s="4">
        <v>-0.007267399762374005</v>
      </c>
      <c r="J151" s="4">
        <v>0.02</v>
      </c>
      <c r="K151" s="4">
        <v>0.08479579450407582</v>
      </c>
      <c r="L151" s="1" t="s">
        <v>270</v>
      </c>
      <c r="M151" s="5">
        <v>10.37142857142857</v>
      </c>
      <c r="N151" s="3">
        <v>1.05</v>
      </c>
      <c r="O151" s="3">
        <v>0.9</v>
      </c>
      <c r="P151" s="4">
        <v>0.8571428571428571</v>
      </c>
      <c r="Q151" s="1">
        <v>2</v>
      </c>
      <c r="R151" s="4">
        <v>0.01924487649145656</v>
      </c>
      <c r="T151" s="1" t="s">
        <v>335</v>
      </c>
      <c r="U151" s="1" t="s">
        <v>336</v>
      </c>
      <c r="V151" s="1" t="s">
        <v>341</v>
      </c>
      <c r="W151" s="6" t="s">
        <v>345</v>
      </c>
      <c r="Y151" s="10">
        <v>46191</v>
      </c>
      <c r="Z151" s="1" t="s">
        <v>363</v>
      </c>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row>
    <row r="152" spans="1:52">
      <c r="A152" s="8" t="s">
        <v>176</v>
      </c>
      <c r="B152" s="2">
        <f>HYPERLINK("https://www.suredividend.com/sure-analysis-EQR/","Equity Residential Properties Trust")</f>
        <v>0</v>
      </c>
      <c r="C152" s="1" t="s">
        <v>263</v>
      </c>
      <c r="D152" s="3">
        <v>67</v>
      </c>
      <c r="E152" s="3">
        <v>67.17</v>
      </c>
      <c r="F152" s="3">
        <v>70</v>
      </c>
      <c r="G152" s="4">
        <v>0.9595714285714286</v>
      </c>
      <c r="H152" s="4">
        <v>0.041834152151258</v>
      </c>
      <c r="I152" s="4">
        <v>0.008287860279302839</v>
      </c>
      <c r="J152" s="4">
        <v>0.04</v>
      </c>
      <c r="K152" s="4">
        <v>0.08400633835445559</v>
      </c>
      <c r="L152" s="1" t="s">
        <v>270</v>
      </c>
      <c r="M152" s="5">
        <v>16.42298288508557</v>
      </c>
      <c r="N152" s="3">
        <v>4.09</v>
      </c>
      <c r="O152" s="3">
        <v>2.81</v>
      </c>
      <c r="P152" s="4">
        <v>0.687041564792176</v>
      </c>
      <c r="Q152" s="1">
        <v>9</v>
      </c>
      <c r="R152" s="4">
        <v>0.03015424391796606</v>
      </c>
      <c r="S152" s="1" t="s">
        <v>328</v>
      </c>
      <c r="T152" s="1" t="s">
        <v>332</v>
      </c>
      <c r="U152" s="1" t="s">
        <v>338</v>
      </c>
      <c r="V152" s="1" t="s">
        <v>340</v>
      </c>
      <c r="W152" s="6" t="s">
        <v>350</v>
      </c>
      <c r="X152" s="7">
        <v>25166.70044</v>
      </c>
      <c r="Y152" s="10">
        <v>46187</v>
      </c>
      <c r="Z152" s="1" t="s">
        <v>357</v>
      </c>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row>
    <row r="153" spans="1:52">
      <c r="A153" s="8" t="s">
        <v>177</v>
      </c>
      <c r="B153" s="2">
        <f>HYPERLINK("https://www.suredividend.com/sure-analysis-WES/","Western Midstream Partners, LP")</f>
        <v>0</v>
      </c>
      <c r="C153" s="1" t="s">
        <v>263</v>
      </c>
      <c r="D153" s="3">
        <v>46</v>
      </c>
      <c r="E153" s="3">
        <v>43</v>
      </c>
      <c r="F153" s="3">
        <v>35</v>
      </c>
      <c r="G153" s="4">
        <v>1.228571428571429</v>
      </c>
      <c r="H153" s="4">
        <v>0.08651162790697675</v>
      </c>
      <c r="I153" s="4">
        <v>-0.04033442140543075</v>
      </c>
      <c r="J153" s="4">
        <v>0.05</v>
      </c>
      <c r="K153" s="4">
        <v>0.08222991864230811</v>
      </c>
      <c r="L153" s="1" t="s">
        <v>270</v>
      </c>
      <c r="M153" s="5">
        <v>12.28571428571429</v>
      </c>
      <c r="N153" s="3">
        <v>3.5</v>
      </c>
      <c r="O153" s="3">
        <v>3.72</v>
      </c>
      <c r="P153" s="4">
        <v>1.062857142857143</v>
      </c>
      <c r="Q153" s="1">
        <v>5</v>
      </c>
      <c r="R153" s="4">
        <v>0.01001253446994665</v>
      </c>
      <c r="S153" s="1" t="s">
        <v>288</v>
      </c>
      <c r="T153" s="1" t="s">
        <v>332</v>
      </c>
      <c r="U153" s="1" t="s">
        <v>337</v>
      </c>
      <c r="V153" s="1" t="s">
        <v>340</v>
      </c>
      <c r="W153" s="6" t="s">
        <v>351</v>
      </c>
      <c r="X153" s="7">
        <v>10655.6814</v>
      </c>
      <c r="Y153" s="10">
        <v>46160</v>
      </c>
      <c r="Z153" s="1" t="s">
        <v>362</v>
      </c>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row>
    <row r="154" spans="1:52">
      <c r="A154" s="8" t="s">
        <v>178</v>
      </c>
      <c r="B154" s="2">
        <f>HYPERLINK("https://www.suredividend.com/sure-analysis-CNNRF/","Canadian Net Real Estate Investment Trust")</f>
        <v>0</v>
      </c>
      <c r="C154" s="1" t="s">
        <v>263</v>
      </c>
      <c r="D154" s="3">
        <v>4.74</v>
      </c>
      <c r="E154" s="3">
        <v>4.63</v>
      </c>
      <c r="F154" s="3">
        <v>4.5</v>
      </c>
      <c r="G154" s="4">
        <v>1.028888888888889</v>
      </c>
      <c r="H154" s="4">
        <v>0.05399568034557235</v>
      </c>
      <c r="I154" s="4">
        <v>-0.005679703413681736</v>
      </c>
      <c r="J154" s="4">
        <v>0.04</v>
      </c>
      <c r="K154" s="4">
        <v>0.08216006863784697</v>
      </c>
      <c r="L154" s="1" t="s">
        <v>270</v>
      </c>
      <c r="M154" s="5">
        <v>9.26</v>
      </c>
      <c r="N154" s="3">
        <v>0.5</v>
      </c>
      <c r="O154" s="3">
        <v>0.25</v>
      </c>
      <c r="P154" s="4">
        <v>0.5</v>
      </c>
      <c r="Q154" s="1">
        <v>1</v>
      </c>
      <c r="R154" s="4">
        <v>0.03713728933664817</v>
      </c>
      <c r="T154" s="1" t="s">
        <v>335</v>
      </c>
      <c r="U154" s="1" t="s">
        <v>338</v>
      </c>
      <c r="V154" s="1" t="s">
        <v>341</v>
      </c>
      <c r="W154" s="6" t="s">
        <v>350</v>
      </c>
      <c r="Y154" s="10">
        <v>46165</v>
      </c>
      <c r="Z154" s="1" t="s">
        <v>358</v>
      </c>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row>
    <row r="155" spans="1:52">
      <c r="A155" s="8" t="s">
        <v>179</v>
      </c>
      <c r="B155" s="2">
        <f>HYPERLINK("https://www.suredividend.com/sure-analysis-GTY/","Getty Realty Corp.")</f>
        <v>0</v>
      </c>
      <c r="C155" s="1" t="s">
        <v>263</v>
      </c>
      <c r="D155" s="3">
        <v>33</v>
      </c>
      <c r="E155" s="3">
        <v>33.85</v>
      </c>
      <c r="F155" s="3">
        <v>36</v>
      </c>
      <c r="G155" s="4">
        <v>0.9402777777777778</v>
      </c>
      <c r="H155" s="4">
        <v>0.05731166912850812</v>
      </c>
      <c r="I155" s="4">
        <v>0.01239214191405114</v>
      </c>
      <c r="J155" s="4">
        <v>0.02</v>
      </c>
      <c r="K155" s="4">
        <v>0.08193878305761215</v>
      </c>
      <c r="L155" s="1" t="s">
        <v>270</v>
      </c>
      <c r="M155" s="5">
        <v>13.48605577689243</v>
      </c>
      <c r="N155" s="3">
        <v>2.51</v>
      </c>
      <c r="O155" s="3">
        <v>1.94</v>
      </c>
      <c r="P155" s="4">
        <v>0.7729083665338646</v>
      </c>
      <c r="Q155" s="1">
        <v>13</v>
      </c>
      <c r="R155" s="4">
        <v>0.02453895781812543</v>
      </c>
      <c r="S155" s="1" t="s">
        <v>289</v>
      </c>
      <c r="T155" s="1" t="s">
        <v>332</v>
      </c>
      <c r="U155" s="1" t="s">
        <v>338</v>
      </c>
      <c r="V155" s="1" t="s">
        <v>340</v>
      </c>
      <c r="W155" s="6" t="s">
        <v>350</v>
      </c>
      <c r="X155" s="7">
        <v>2049.832249</v>
      </c>
      <c r="Y155" s="10">
        <v>46135</v>
      </c>
      <c r="Z155" s="1" t="s">
        <v>362</v>
      </c>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row>
    <row r="156" spans="1:52">
      <c r="A156" s="8" t="s">
        <v>180</v>
      </c>
      <c r="B156" s="2">
        <f>HYPERLINK("https://www.suredividend.com/sure-analysis-MAIN/","Main Street Capital Corporation")</f>
        <v>0</v>
      </c>
      <c r="C156" s="1" t="s">
        <v>263</v>
      </c>
      <c r="D156" s="3">
        <v>51</v>
      </c>
      <c r="E156" s="3">
        <v>50.145</v>
      </c>
      <c r="F156" s="3">
        <v>52</v>
      </c>
      <c r="G156" s="4">
        <v>0.9643269230769231</v>
      </c>
      <c r="H156" s="4">
        <v>0.06341609332934491</v>
      </c>
      <c r="I156" s="4">
        <v>0.007291436013862951</v>
      </c>
      <c r="J156" s="4">
        <v>0.02</v>
      </c>
      <c r="K156" s="4">
        <v>0.0803211252774314</v>
      </c>
      <c r="L156" s="1" t="s">
        <v>270</v>
      </c>
      <c r="M156" s="5">
        <v>13.02467532467533</v>
      </c>
      <c r="N156" s="3">
        <v>3.85</v>
      </c>
      <c r="O156" s="3">
        <v>3.18</v>
      </c>
      <c r="P156" s="4">
        <v>0.825974025974026</v>
      </c>
      <c r="Q156" s="1">
        <v>12</v>
      </c>
      <c r="R156" s="4">
        <v>0.009866275951314618</v>
      </c>
      <c r="S156" s="1" t="s">
        <v>329</v>
      </c>
      <c r="T156" s="1" t="s">
        <v>335</v>
      </c>
      <c r="U156" s="1" t="s">
        <v>339</v>
      </c>
      <c r="V156" s="1" t="s">
        <v>340</v>
      </c>
      <c r="W156" s="6" t="s">
        <v>342</v>
      </c>
      <c r="X156" s="7">
        <v>4667.159969</v>
      </c>
      <c r="Y156" s="10">
        <v>46164</v>
      </c>
      <c r="Z156" s="1" t="s">
        <v>354</v>
      </c>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row>
    <row r="157" spans="1:52">
      <c r="A157" s="8" t="s">
        <v>181</v>
      </c>
      <c r="B157" s="2">
        <f>HYPERLINK("https://www.suredividend.com/sure-analysis-IMBBY/","Imperial Brands Plc")</f>
        <v>0</v>
      </c>
      <c r="C157" s="1" t="s">
        <v>263</v>
      </c>
      <c r="D157" s="3">
        <v>37</v>
      </c>
      <c r="E157" s="3">
        <v>36.83</v>
      </c>
      <c r="F157" s="3">
        <v>36</v>
      </c>
      <c r="G157" s="4">
        <v>1.023055555555556</v>
      </c>
      <c r="H157" s="4">
        <v>0.06163453706217758</v>
      </c>
      <c r="I157" s="4">
        <v>-0.00454838303334848</v>
      </c>
      <c r="J157" s="4">
        <v>0.03</v>
      </c>
      <c r="K157" s="4">
        <v>0.08010904174329947</v>
      </c>
      <c r="L157" s="1" t="s">
        <v>270</v>
      </c>
      <c r="M157" s="5">
        <v>8.184444444444445</v>
      </c>
      <c r="N157" s="3">
        <v>4.5</v>
      </c>
      <c r="O157" s="3">
        <v>2.27</v>
      </c>
      <c r="P157" s="4">
        <v>0.5044444444444445</v>
      </c>
      <c r="Q157" s="1">
        <v>3</v>
      </c>
      <c r="R157" s="4">
        <v>0.02987846788915305</v>
      </c>
      <c r="T157" s="1" t="s">
        <v>332</v>
      </c>
      <c r="U157" s="1" t="s">
        <v>336</v>
      </c>
      <c r="V157" s="1" t="s">
        <v>341</v>
      </c>
      <c r="W157" s="6" t="s">
        <v>343</v>
      </c>
      <c r="Y157" s="10">
        <v>46174</v>
      </c>
      <c r="Z157" s="1" t="s">
        <v>355</v>
      </c>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row>
    <row r="158" spans="1:52">
      <c r="A158" s="8" t="s">
        <v>182</v>
      </c>
      <c r="B158" s="2">
        <f>HYPERLINK("https://www.suredividend.com/sure-analysis-OMF/","OneMain Holdings Inc")</f>
        <v>0</v>
      </c>
      <c r="C158" s="1" t="s">
        <v>263</v>
      </c>
      <c r="D158" s="3">
        <v>56</v>
      </c>
      <c r="E158" s="3">
        <v>59.895</v>
      </c>
      <c r="F158" s="3">
        <v>54</v>
      </c>
      <c r="G158" s="4">
        <v>1.109166666666667</v>
      </c>
      <c r="H158" s="4">
        <v>0.07012271475081393</v>
      </c>
      <c r="I158" s="4">
        <v>-0.02050857541273543</v>
      </c>
      <c r="J158" s="4">
        <v>0.04</v>
      </c>
      <c r="K158" s="4">
        <v>0.07999096702318642</v>
      </c>
      <c r="L158" s="1" t="s">
        <v>270</v>
      </c>
      <c r="M158" s="5">
        <v>8.31875</v>
      </c>
      <c r="N158" s="3">
        <v>7.2</v>
      </c>
      <c r="O158" s="3">
        <v>4.2</v>
      </c>
      <c r="P158" s="4">
        <v>0.5833333333333334</v>
      </c>
      <c r="Q158" s="1">
        <v>6</v>
      </c>
      <c r="R158" s="4">
        <v>0.02012581547039716</v>
      </c>
      <c r="S158" s="1" t="s">
        <v>317</v>
      </c>
      <c r="T158" s="1" t="s">
        <v>332</v>
      </c>
      <c r="U158" s="1" t="s">
        <v>336</v>
      </c>
      <c r="V158" s="1" t="s">
        <v>340</v>
      </c>
      <c r="W158" s="6" t="s">
        <v>342</v>
      </c>
      <c r="X158" s="7">
        <v>7527.632373</v>
      </c>
      <c r="Y158" s="10">
        <v>46153</v>
      </c>
      <c r="Z158" s="1" t="s">
        <v>363</v>
      </c>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row>
    <row r="159" spans="1:52">
      <c r="A159" s="8" t="s">
        <v>183</v>
      </c>
      <c r="B159" s="2">
        <f>HYPERLINK("https://www.suredividend.com/sure-analysis-BTBIF/","BTB Real Estate Investment Trust")</f>
        <v>0</v>
      </c>
      <c r="C159" s="1" t="s">
        <v>264</v>
      </c>
      <c r="D159" s="3">
        <v>2.89</v>
      </c>
      <c r="E159" s="3">
        <v>2.69</v>
      </c>
      <c r="F159" s="3">
        <v>2.85</v>
      </c>
      <c r="G159" s="4">
        <v>0.943859649122807</v>
      </c>
      <c r="H159" s="4">
        <v>0.08178438661710037</v>
      </c>
      <c r="I159" s="4">
        <v>0.01162258353387768</v>
      </c>
      <c r="J159" s="4">
        <v>0</v>
      </c>
      <c r="K159" s="4">
        <v>0.07986375139264701</v>
      </c>
      <c r="L159" s="1" t="s">
        <v>270</v>
      </c>
      <c r="M159" s="5">
        <v>8.966666666666667</v>
      </c>
      <c r="N159" s="3">
        <v>0.3</v>
      </c>
      <c r="O159" s="3">
        <v>0.22</v>
      </c>
      <c r="P159" s="4">
        <v>0.7333333333333334</v>
      </c>
      <c r="Q159" s="1">
        <v>0</v>
      </c>
      <c r="R159" s="4">
        <v>0</v>
      </c>
      <c r="T159" s="1" t="s">
        <v>335</v>
      </c>
      <c r="U159" s="1" t="s">
        <v>338</v>
      </c>
      <c r="V159" s="1" t="s">
        <v>341</v>
      </c>
      <c r="W159" s="6" t="s">
        <v>350</v>
      </c>
      <c r="Y159" s="10">
        <v>46161</v>
      </c>
      <c r="Z159" s="1" t="s">
        <v>358</v>
      </c>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row>
    <row r="160" spans="1:52">
      <c r="A160" s="8" t="s">
        <v>184</v>
      </c>
      <c r="B160" s="2">
        <f>HYPERLINK("https://www.suredividend.com/sure-analysis-LXP/","LXP Industrial Trust")</f>
        <v>0</v>
      </c>
      <c r="C160" s="1" t="s">
        <v>263</v>
      </c>
      <c r="D160" s="3">
        <v>52</v>
      </c>
      <c r="E160" s="3">
        <v>56</v>
      </c>
      <c r="F160" s="3">
        <v>48</v>
      </c>
      <c r="G160" s="4">
        <v>1.166666666666667</v>
      </c>
      <c r="H160" s="4">
        <v>0.05</v>
      </c>
      <c r="I160" s="4">
        <v>-0.03035973390442093</v>
      </c>
      <c r="J160" s="4">
        <v>0.07000000000000001</v>
      </c>
      <c r="K160" s="4">
        <v>0.07973389494153893</v>
      </c>
      <c r="L160" s="1" t="s">
        <v>270</v>
      </c>
      <c r="M160" s="5">
        <v>16.96969696969697</v>
      </c>
      <c r="N160" s="3">
        <v>3.3</v>
      </c>
      <c r="O160" s="3">
        <v>2.8</v>
      </c>
      <c r="P160" s="4">
        <v>0.8484848484848485</v>
      </c>
      <c r="Q160" s="1">
        <v>7</v>
      </c>
      <c r="R160" s="4">
        <v>0.01990586594251287</v>
      </c>
      <c r="S160" s="1" t="s">
        <v>320</v>
      </c>
      <c r="T160" s="1" t="s">
        <v>332</v>
      </c>
      <c r="U160" s="1" t="s">
        <v>338</v>
      </c>
      <c r="V160" s="1" t="s">
        <v>340</v>
      </c>
      <c r="W160" s="6" t="s">
        <v>350</v>
      </c>
      <c r="X160" s="7">
        <v>3205.837603</v>
      </c>
      <c r="Y160" s="10">
        <v>46145</v>
      </c>
      <c r="Z160" s="1" t="s">
        <v>354</v>
      </c>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row>
    <row r="161" spans="1:52">
      <c r="A161" s="8" t="s">
        <v>185</v>
      </c>
      <c r="B161" s="2">
        <f>HYPERLINK("https://www.suredividend.com/sure-analysis-NTST/","Netstreit Corp")</f>
        <v>0</v>
      </c>
      <c r="C161" s="1" t="s">
        <v>263</v>
      </c>
      <c r="D161" s="3">
        <v>20.9</v>
      </c>
      <c r="E161" s="3">
        <v>20.77</v>
      </c>
      <c r="F161" s="3">
        <v>22.1</v>
      </c>
      <c r="G161" s="4">
        <v>0.9398190045248868</v>
      </c>
      <c r="H161" s="4">
        <v>0.04236880115551276</v>
      </c>
      <c r="I161" s="4">
        <v>0.01249096259552074</v>
      </c>
      <c r="J161" s="4">
        <v>0.03</v>
      </c>
      <c r="K161" s="4">
        <v>0.0793888367937654</v>
      </c>
      <c r="L161" s="1" t="s">
        <v>270</v>
      </c>
      <c r="M161" s="5">
        <v>15.05072463768116</v>
      </c>
      <c r="N161" s="3">
        <v>1.38</v>
      </c>
      <c r="O161" s="3">
        <v>0.88</v>
      </c>
      <c r="P161" s="4">
        <v>0.6376811594202899</v>
      </c>
      <c r="Q161" s="1">
        <v>3</v>
      </c>
      <c r="R161" s="4">
        <v>0.02996744995959233</v>
      </c>
      <c r="S161" s="1" t="s">
        <v>285</v>
      </c>
      <c r="T161" s="1" t="s">
        <v>332</v>
      </c>
      <c r="U161" s="1" t="s">
        <v>338</v>
      </c>
      <c r="V161" s="1" t="s">
        <v>340</v>
      </c>
      <c r="W161" s="6" t="s">
        <v>350</v>
      </c>
      <c r="X161" s="7">
        <v>2019.130201</v>
      </c>
      <c r="Y161" s="10">
        <v>46135</v>
      </c>
      <c r="Z161" s="1" t="s">
        <v>354</v>
      </c>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row>
    <row r="162" spans="1:52">
      <c r="A162" s="8" t="s">
        <v>186</v>
      </c>
      <c r="B162" s="2">
        <f>HYPERLINK("https://www.suredividend.com/sure-analysis-GHIFF/","Gamehost Inc.")</f>
        <v>0</v>
      </c>
      <c r="C162" s="1" t="s">
        <v>263</v>
      </c>
      <c r="D162" s="3">
        <v>9.76</v>
      </c>
      <c r="E162" s="3">
        <v>9.57</v>
      </c>
      <c r="F162" s="3">
        <v>9.9</v>
      </c>
      <c r="G162" s="4">
        <v>0.9666666666666667</v>
      </c>
      <c r="H162" s="4">
        <v>0.04597701149425287</v>
      </c>
      <c r="I162" s="4">
        <v>0.006803348678863008</v>
      </c>
      <c r="J162" s="4">
        <v>0.03</v>
      </c>
      <c r="K162" s="4">
        <v>0.07723953034247133</v>
      </c>
      <c r="L162" s="1" t="s">
        <v>270</v>
      </c>
      <c r="M162" s="5">
        <v>10.63333333333333</v>
      </c>
      <c r="N162" s="3">
        <v>0.9</v>
      </c>
      <c r="O162" s="3">
        <v>0.44</v>
      </c>
      <c r="P162" s="4">
        <v>0.4888888888888889</v>
      </c>
      <c r="Q162" s="1">
        <v>2</v>
      </c>
      <c r="R162" s="4">
        <v>0.02996744995959233</v>
      </c>
      <c r="T162" s="1" t="s">
        <v>335</v>
      </c>
      <c r="U162" s="1" t="s">
        <v>336</v>
      </c>
      <c r="V162" s="1" t="s">
        <v>341</v>
      </c>
      <c r="W162" s="6" t="s">
        <v>345</v>
      </c>
      <c r="Y162" s="10">
        <v>46160</v>
      </c>
      <c r="Z162" s="1" t="s">
        <v>358</v>
      </c>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row>
    <row r="163" spans="1:52">
      <c r="A163" s="8" t="s">
        <v>187</v>
      </c>
      <c r="B163" s="2">
        <f>HYPERLINK("https://www.suredividend.com/sure-analysis-LTC/","LTC Properties, Inc.")</f>
        <v>0</v>
      </c>
      <c r="C163" s="1" t="s">
        <v>264</v>
      </c>
      <c r="D163" s="3">
        <v>40</v>
      </c>
      <c r="E163" s="3">
        <v>38.46</v>
      </c>
      <c r="F163" s="3">
        <v>40</v>
      </c>
      <c r="G163" s="4">
        <v>0.9615</v>
      </c>
      <c r="H163" s="4">
        <v>0.05928237129485179</v>
      </c>
      <c r="I163" s="4">
        <v>0.007883051711317979</v>
      </c>
      <c r="J163" s="4">
        <v>0.02</v>
      </c>
      <c r="K163" s="4">
        <v>0.07635527658028995</v>
      </c>
      <c r="L163" s="1" t="s">
        <v>270</v>
      </c>
      <c r="M163" s="5">
        <v>13.88447653429603</v>
      </c>
      <c r="N163" s="3">
        <v>2.77</v>
      </c>
      <c r="O163" s="3">
        <v>2.28</v>
      </c>
      <c r="P163" s="4">
        <v>0.8231046931407942</v>
      </c>
      <c r="Q163" s="1">
        <v>0</v>
      </c>
      <c r="R163" s="4">
        <v>0</v>
      </c>
      <c r="S163" s="1" t="s">
        <v>312</v>
      </c>
      <c r="T163" s="1" t="s">
        <v>335</v>
      </c>
      <c r="U163" s="1" t="s">
        <v>338</v>
      </c>
      <c r="V163" s="1" t="s">
        <v>340</v>
      </c>
      <c r="W163" s="6" t="s">
        <v>350</v>
      </c>
      <c r="X163" s="7">
        <v>1967.926983</v>
      </c>
      <c r="Y163" s="10">
        <v>46079</v>
      </c>
      <c r="Z163" s="1" t="s">
        <v>362</v>
      </c>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row>
    <row r="164" spans="1:52">
      <c r="A164" s="8" t="s">
        <v>188</v>
      </c>
      <c r="B164" s="2">
        <f>HYPERLINK("https://www.suredividend.com/sure-analysis-BP/","BP plc")</f>
        <v>0</v>
      </c>
      <c r="C164" s="1" t="s">
        <v>263</v>
      </c>
      <c r="D164" s="3">
        <v>47</v>
      </c>
      <c r="E164" s="3">
        <v>37.29</v>
      </c>
      <c r="F164" s="3">
        <v>66</v>
      </c>
      <c r="G164" s="4">
        <v>0.5649999999999999</v>
      </c>
      <c r="H164" s="4">
        <v>0.05363368195226603</v>
      </c>
      <c r="I164" s="4">
        <v>0.1209605027956842</v>
      </c>
      <c r="J164" s="4">
        <v>-0.08</v>
      </c>
      <c r="K164" s="4">
        <v>0.07605340861319609</v>
      </c>
      <c r="L164" s="1" t="s">
        <v>270</v>
      </c>
      <c r="M164" s="5">
        <v>6.78</v>
      </c>
      <c r="N164" s="3">
        <v>5.5</v>
      </c>
      <c r="O164" s="3">
        <v>2</v>
      </c>
      <c r="P164" s="4">
        <v>0.3636363636363636</v>
      </c>
      <c r="Q164" s="1">
        <v>4</v>
      </c>
      <c r="R164" s="4">
        <v>0.009805797673485328</v>
      </c>
      <c r="S164" s="1" t="s">
        <v>301</v>
      </c>
      <c r="T164" s="1" t="s">
        <v>332</v>
      </c>
      <c r="U164" s="1" t="s">
        <v>336</v>
      </c>
      <c r="V164" s="1" t="s">
        <v>341</v>
      </c>
      <c r="W164" s="6" t="s">
        <v>351</v>
      </c>
      <c r="X164" s="7">
        <v>103723.834327</v>
      </c>
      <c r="Y164" s="10">
        <v>46142</v>
      </c>
      <c r="Z164" s="1" t="s">
        <v>362</v>
      </c>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row>
    <row r="165" spans="1:52">
      <c r="A165" s="8" t="s">
        <v>189</v>
      </c>
      <c r="B165" s="2">
        <f>HYPERLINK("https://www.suredividend.com/sure-analysis-DOC/","Healthpeak Properties Inc.")</f>
        <v>0</v>
      </c>
      <c r="C165" s="1" t="s">
        <v>263</v>
      </c>
      <c r="D165" s="3">
        <v>20</v>
      </c>
      <c r="E165" s="3">
        <v>21.29</v>
      </c>
      <c r="F165" s="3">
        <v>21</v>
      </c>
      <c r="G165" s="4">
        <v>1.013809523809524</v>
      </c>
      <c r="H165" s="4">
        <v>0.05730389854391733</v>
      </c>
      <c r="I165" s="4">
        <v>-0.002739249626718454</v>
      </c>
      <c r="J165" s="4">
        <v>0.03</v>
      </c>
      <c r="K165" s="4">
        <v>0.07582999440426419</v>
      </c>
      <c r="L165" s="1" t="s">
        <v>270</v>
      </c>
      <c r="M165" s="5">
        <v>12.30635838150289</v>
      </c>
      <c r="N165" s="3">
        <v>1.73</v>
      </c>
      <c r="O165" s="3">
        <v>1.22</v>
      </c>
      <c r="P165" s="4">
        <v>0.7052023121387283</v>
      </c>
      <c r="Q165" s="1">
        <v>1</v>
      </c>
      <c r="R165" s="4">
        <v>0.01278370289964093</v>
      </c>
      <c r="S165" s="1" t="s">
        <v>292</v>
      </c>
      <c r="T165" s="1" t="s">
        <v>335</v>
      </c>
      <c r="U165" s="1" t="s">
        <v>338</v>
      </c>
      <c r="V165" s="1" t="s">
        <v>340</v>
      </c>
      <c r="W165" s="6" t="s">
        <v>350</v>
      </c>
      <c r="X165" s="7">
        <v>14636.380273</v>
      </c>
      <c r="Y165" s="10">
        <v>46157</v>
      </c>
      <c r="Z165" s="1" t="s">
        <v>362</v>
      </c>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row>
    <row r="166" spans="1:52">
      <c r="A166" s="8" t="s">
        <v>190</v>
      </c>
      <c r="B166" s="2">
        <f>HYPERLINK("https://www.suredividend.com/sure-analysis-TBCRF/","Timbercreek Financial Corp.")</f>
        <v>0</v>
      </c>
      <c r="C166" s="1" t="s">
        <v>264</v>
      </c>
      <c r="D166" s="3">
        <v>4.84</v>
      </c>
      <c r="E166" s="3">
        <v>4.63</v>
      </c>
      <c r="F166" s="3">
        <v>4.08</v>
      </c>
      <c r="G166" s="4">
        <v>1.134803921568627</v>
      </c>
      <c r="H166" s="4">
        <v>0.1101511879049676</v>
      </c>
      <c r="I166" s="4">
        <v>-0.02497481342801255</v>
      </c>
      <c r="J166" s="4">
        <v>0</v>
      </c>
      <c r="K166" s="4">
        <v>0.07445073543279612</v>
      </c>
      <c r="L166" s="1" t="s">
        <v>270</v>
      </c>
      <c r="M166" s="5">
        <v>9.078431372549019</v>
      </c>
      <c r="N166" s="3">
        <v>0.51</v>
      </c>
      <c r="O166" s="3">
        <v>0.51</v>
      </c>
      <c r="P166" s="4">
        <v>1</v>
      </c>
      <c r="Q166" s="1">
        <v>0</v>
      </c>
      <c r="R166" s="4">
        <v>0</v>
      </c>
      <c r="T166" s="1" t="s">
        <v>335</v>
      </c>
      <c r="U166" s="1" t="s">
        <v>336</v>
      </c>
      <c r="V166" s="1" t="s">
        <v>341</v>
      </c>
      <c r="W166" s="6" t="s">
        <v>342</v>
      </c>
      <c r="Y166" s="10">
        <v>46154</v>
      </c>
      <c r="Z166" s="1" t="s">
        <v>358</v>
      </c>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row>
    <row r="167" spans="1:52">
      <c r="A167" s="8" t="s">
        <v>191</v>
      </c>
      <c r="B167" s="2">
        <f>HYPERLINK("https://www.suredividend.com/sure-analysis-DRETF/","Dream Office Real Estate Investment Trust")</f>
        <v>0</v>
      </c>
      <c r="C167" s="1" t="s">
        <v>264</v>
      </c>
      <c r="D167" s="3">
        <v>12.32</v>
      </c>
      <c r="E167" s="3">
        <v>12.45</v>
      </c>
      <c r="F167" s="3">
        <v>13.6</v>
      </c>
      <c r="G167" s="4">
        <v>0.9154411764705882</v>
      </c>
      <c r="H167" s="4">
        <v>0.05863453815261045</v>
      </c>
      <c r="I167" s="4">
        <v>0.0178268690468435</v>
      </c>
      <c r="J167" s="4">
        <v>0</v>
      </c>
      <c r="K167" s="4">
        <v>0.07172158071526358</v>
      </c>
      <c r="L167" s="1" t="s">
        <v>270</v>
      </c>
      <c r="M167" s="5">
        <v>7.323529411764706</v>
      </c>
      <c r="N167" s="3">
        <v>1.7</v>
      </c>
      <c r="O167" s="3">
        <v>0.73</v>
      </c>
      <c r="P167" s="4">
        <v>0.4294117647058823</v>
      </c>
      <c r="Q167" s="1">
        <v>0</v>
      </c>
      <c r="R167" s="4">
        <v>0.03090634618651533</v>
      </c>
      <c r="T167" s="1" t="s">
        <v>335</v>
      </c>
      <c r="U167" s="1" t="s">
        <v>338</v>
      </c>
      <c r="V167" s="1" t="s">
        <v>341</v>
      </c>
      <c r="W167" s="6" t="s">
        <v>350</v>
      </c>
      <c r="Y167" s="10">
        <v>46154</v>
      </c>
      <c r="Z167" s="1" t="s">
        <v>358</v>
      </c>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row>
    <row r="168" spans="1:52">
      <c r="A168" s="8" t="s">
        <v>192</v>
      </c>
      <c r="B168" s="2">
        <f>HYPERLINK("https://www.suredividend.com/sure-analysis-FRMUF/","Firm Capital Property Trust")</f>
        <v>0</v>
      </c>
      <c r="C168" s="1" t="s">
        <v>264</v>
      </c>
      <c r="D168" s="3">
        <v>4.8</v>
      </c>
      <c r="E168" s="3">
        <v>4.93</v>
      </c>
      <c r="F168" s="3">
        <v>5</v>
      </c>
      <c r="G168" s="4">
        <v>0.986</v>
      </c>
      <c r="H168" s="4">
        <v>0.07707910750507099</v>
      </c>
      <c r="I168" s="4">
        <v>0.002823764208681911</v>
      </c>
      <c r="J168" s="4">
        <v>0</v>
      </c>
      <c r="K168" s="4">
        <v>0.06954838010790598</v>
      </c>
      <c r="L168" s="1" t="s">
        <v>270</v>
      </c>
      <c r="M168" s="5">
        <v>9.859999999999999</v>
      </c>
      <c r="N168" s="3">
        <v>0.5</v>
      </c>
      <c r="O168" s="3">
        <v>0.38</v>
      </c>
      <c r="P168" s="4">
        <v>0.76</v>
      </c>
      <c r="Q168" s="1">
        <v>0</v>
      </c>
      <c r="R168" s="4">
        <v>0</v>
      </c>
      <c r="T168" s="1" t="s">
        <v>335</v>
      </c>
      <c r="U168" s="1" t="s">
        <v>338</v>
      </c>
      <c r="V168" s="1" t="s">
        <v>341</v>
      </c>
      <c r="W168" s="6" t="s">
        <v>350</v>
      </c>
      <c r="Y168" s="10">
        <v>46156</v>
      </c>
      <c r="Z168" s="1" t="s">
        <v>358</v>
      </c>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row>
    <row r="169" spans="1:52">
      <c r="A169" s="8" t="s">
        <v>193</v>
      </c>
      <c r="B169" s="2">
        <f>HYPERLINK("https://www.suredividend.com/sure-analysis-TRIN/","Trinity Capital Inc. (TRIN)")</f>
        <v>0</v>
      </c>
      <c r="C169" s="1" t="s">
        <v>264</v>
      </c>
      <c r="D169" s="3">
        <v>16.77</v>
      </c>
      <c r="E169" s="3">
        <v>16.88</v>
      </c>
      <c r="F169" s="3">
        <v>13.27</v>
      </c>
      <c r="G169" s="4">
        <v>1.272042200452148</v>
      </c>
      <c r="H169" s="4">
        <v>0.1208530805687204</v>
      </c>
      <c r="I169" s="4">
        <v>-0.04698508813681035</v>
      </c>
      <c r="J169" s="4">
        <v>0</v>
      </c>
      <c r="K169" s="4">
        <v>0.06813987828517254</v>
      </c>
      <c r="L169" s="1" t="s">
        <v>270</v>
      </c>
      <c r="M169" s="5">
        <v>8.115384615384615</v>
      </c>
      <c r="N169" s="3">
        <v>2.08</v>
      </c>
      <c r="O169" s="3">
        <v>2.04</v>
      </c>
      <c r="P169" s="4">
        <v>0.9807692307692307</v>
      </c>
      <c r="Q169" s="1">
        <v>0</v>
      </c>
      <c r="R169" s="4">
        <v>0</v>
      </c>
      <c r="S169" s="1" t="s">
        <v>311</v>
      </c>
      <c r="T169" s="1" t="s">
        <v>335</v>
      </c>
      <c r="U169" s="1" t="s">
        <v>336</v>
      </c>
      <c r="V169" s="1" t="s">
        <v>340</v>
      </c>
      <c r="W169" s="6" t="s">
        <v>342</v>
      </c>
      <c r="X169" s="7">
        <v>1519.101302</v>
      </c>
      <c r="Y169" s="10">
        <v>46155</v>
      </c>
      <c r="Z169" s="1" t="s">
        <v>358</v>
      </c>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row>
    <row r="170" spans="1:52">
      <c r="A170" s="8" t="s">
        <v>194</v>
      </c>
      <c r="B170" s="2">
        <f>HYPERLINK("https://www.suredividend.com/sure-analysis-SGU/","Star Group L.P.")</f>
        <v>0</v>
      </c>
      <c r="C170" s="1" t="s">
        <v>263</v>
      </c>
      <c r="D170" s="3">
        <v>13</v>
      </c>
      <c r="E170" s="3">
        <v>12.71</v>
      </c>
      <c r="F170" s="3">
        <v>11</v>
      </c>
      <c r="G170" s="4">
        <v>1.155454545454546</v>
      </c>
      <c r="H170" s="4">
        <v>0.06215578284815106</v>
      </c>
      <c r="I170" s="4">
        <v>-0.02848518676201794</v>
      </c>
      <c r="J170" s="4">
        <v>0.04</v>
      </c>
      <c r="K170" s="4">
        <v>0.06796366132589848</v>
      </c>
      <c r="L170" s="1" t="s">
        <v>270</v>
      </c>
      <c r="M170" s="5">
        <v>13.37894736842105</v>
      </c>
      <c r="N170" s="3">
        <v>0.95</v>
      </c>
      <c r="O170" s="3">
        <v>0.79</v>
      </c>
      <c r="P170" s="4">
        <v>0.8315789473684211</v>
      </c>
      <c r="Q170" s="1">
        <v>14</v>
      </c>
      <c r="R170" s="4">
        <v>0.02641522085850445</v>
      </c>
      <c r="S170" s="1" t="s">
        <v>330</v>
      </c>
      <c r="T170" s="1" t="s">
        <v>332</v>
      </c>
      <c r="U170" s="1" t="s">
        <v>337</v>
      </c>
      <c r="V170" s="1" t="s">
        <v>340</v>
      </c>
      <c r="W170" s="6" t="s">
        <v>351</v>
      </c>
      <c r="X170" s="7">
        <v>309.944809</v>
      </c>
      <c r="Y170" s="10">
        <v>46143</v>
      </c>
      <c r="Z170" s="1" t="s">
        <v>365</v>
      </c>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row>
    <row r="171" spans="1:52">
      <c r="A171" s="8" t="s">
        <v>195</v>
      </c>
      <c r="B171" s="2">
        <f>HYPERLINK("https://www.suredividend.com/sure-analysis-EFRTF/","Nexus Industrial REIT")</f>
        <v>0</v>
      </c>
      <c r="C171" s="1" t="s">
        <v>264</v>
      </c>
      <c r="D171" s="3">
        <v>5.59</v>
      </c>
      <c r="E171" s="3">
        <v>5.66</v>
      </c>
      <c r="F171" s="3">
        <v>5.5</v>
      </c>
      <c r="G171" s="4">
        <v>1.029090909090909</v>
      </c>
      <c r="H171" s="4">
        <v>0.08303886925795052</v>
      </c>
      <c r="I171" s="4">
        <v>-0.005718745360424826</v>
      </c>
      <c r="J171" s="4">
        <v>0</v>
      </c>
      <c r="K171" s="4">
        <v>0.06760511314110795</v>
      </c>
      <c r="L171" s="1" t="s">
        <v>270</v>
      </c>
      <c r="M171" s="5">
        <v>10.29090909090909</v>
      </c>
      <c r="N171" s="3">
        <v>0.55</v>
      </c>
      <c r="O171" s="3">
        <v>0.47</v>
      </c>
      <c r="P171" s="4">
        <v>0.8545454545454544</v>
      </c>
      <c r="Q171" s="1">
        <v>0</v>
      </c>
      <c r="R171" s="4">
        <v>0</v>
      </c>
      <c r="T171" s="1" t="s">
        <v>335</v>
      </c>
      <c r="U171" s="1" t="s">
        <v>338</v>
      </c>
      <c r="V171" s="1" t="s">
        <v>341</v>
      </c>
      <c r="W171" s="6" t="s">
        <v>350</v>
      </c>
      <c r="Y171" s="10">
        <v>46160</v>
      </c>
      <c r="Z171" s="1" t="s">
        <v>358</v>
      </c>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row>
    <row r="172" spans="1:52">
      <c r="A172" s="8" t="s">
        <v>196</v>
      </c>
      <c r="B172" s="2">
        <f>HYPERLINK("https://www.suredividend.com/sure-analysis-XRN/","Chiron Real Estate Inc.")</f>
        <v>0</v>
      </c>
      <c r="C172" s="1" t="s">
        <v>264</v>
      </c>
      <c r="D172" s="3">
        <v>33</v>
      </c>
      <c r="E172" s="3">
        <v>36.11</v>
      </c>
      <c r="F172" s="3">
        <v>34</v>
      </c>
      <c r="G172" s="4">
        <v>1.062058823529412</v>
      </c>
      <c r="H172" s="4">
        <v>0.05317086679590141</v>
      </c>
      <c r="I172" s="4">
        <v>-0.01196964906339293</v>
      </c>
      <c r="J172" s="4">
        <v>0.03</v>
      </c>
      <c r="K172" s="4">
        <v>0.06694292811544234</v>
      </c>
      <c r="L172" s="1" t="s">
        <v>270</v>
      </c>
      <c r="M172" s="5">
        <v>9.428198433420365</v>
      </c>
      <c r="N172" s="3">
        <v>3.83</v>
      </c>
      <c r="O172" s="3">
        <v>1.92</v>
      </c>
      <c r="P172" s="4">
        <v>0.5013054830287206</v>
      </c>
      <c r="Q172" s="1">
        <v>0</v>
      </c>
      <c r="R172" s="4">
        <v>0.03038784497717151</v>
      </c>
      <c r="S172" s="1" t="s">
        <v>312</v>
      </c>
      <c r="T172" s="1" t="s">
        <v>335</v>
      </c>
      <c r="U172" s="1" t="s">
        <v>338</v>
      </c>
      <c r="V172" s="1" t="s">
        <v>340</v>
      </c>
      <c r="W172" s="6" t="s">
        <v>350</v>
      </c>
      <c r="X172" s="7">
        <v>478.04206</v>
      </c>
      <c r="Y172" s="10">
        <v>46150</v>
      </c>
      <c r="Z172" s="1" t="s">
        <v>358</v>
      </c>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row>
    <row r="173" spans="1:52">
      <c r="A173" s="8" t="s">
        <v>197</v>
      </c>
      <c r="B173" s="2">
        <f>HYPERLINK("https://www.suredividend.com/sure-analysis-ETD/","Ethan Allen Interiors, Inc.")</f>
        <v>0</v>
      </c>
      <c r="C173" s="1" t="s">
        <v>263</v>
      </c>
      <c r="D173" s="3">
        <v>20</v>
      </c>
      <c r="E173" s="3">
        <v>21.76</v>
      </c>
      <c r="F173" s="3">
        <v>18</v>
      </c>
      <c r="G173" s="4">
        <v>1.208888888888889</v>
      </c>
      <c r="H173" s="4">
        <v>0.07169117647058823</v>
      </c>
      <c r="I173" s="4">
        <v>-0.03722961502710009</v>
      </c>
      <c r="J173" s="4">
        <v>0.04</v>
      </c>
      <c r="K173" s="4">
        <v>0.06673126206105007</v>
      </c>
      <c r="L173" s="1" t="s">
        <v>270</v>
      </c>
      <c r="M173" s="5">
        <v>14.50666666666667</v>
      </c>
      <c r="N173" s="3">
        <v>1.5</v>
      </c>
      <c r="O173" s="3">
        <v>1.56</v>
      </c>
      <c r="P173" s="4">
        <v>1.04</v>
      </c>
      <c r="Q173" s="1">
        <v>5</v>
      </c>
      <c r="R173" s="4">
        <v>0.01493197894539366</v>
      </c>
      <c r="S173" s="1" t="s">
        <v>273</v>
      </c>
      <c r="T173" s="1" t="s">
        <v>332</v>
      </c>
      <c r="U173" s="1" t="s">
        <v>336</v>
      </c>
      <c r="V173" s="1" t="s">
        <v>340</v>
      </c>
      <c r="W173" s="6" t="s">
        <v>345</v>
      </c>
      <c r="X173" s="7">
        <v>559.310531</v>
      </c>
      <c r="Y173" s="10">
        <v>46148</v>
      </c>
      <c r="Z173" s="1" t="s">
        <v>362</v>
      </c>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row>
    <row r="174" spans="1:52">
      <c r="A174" s="8" t="s">
        <v>198</v>
      </c>
      <c r="B174" s="2">
        <f>HYPERLINK("https://www.suredividend.com/sure-analysis-FCMGF/","Firm Capital Mortgage Investment Corp.")</f>
        <v>0</v>
      </c>
      <c r="C174" s="1" t="s">
        <v>264</v>
      </c>
      <c r="D174" s="3">
        <v>8.66</v>
      </c>
      <c r="E174" s="3">
        <v>8.550000000000001</v>
      </c>
      <c r="F174" s="3">
        <v>8.4</v>
      </c>
      <c r="G174" s="4">
        <v>1.017857142857143</v>
      </c>
      <c r="H174" s="4">
        <v>0.07953216374269005</v>
      </c>
      <c r="I174" s="4">
        <v>-0.003533657305866189</v>
      </c>
      <c r="J174" s="4">
        <v>0</v>
      </c>
      <c r="K174" s="4">
        <v>0.06655480967022442</v>
      </c>
      <c r="L174" s="1" t="s">
        <v>270</v>
      </c>
      <c r="M174" s="5">
        <v>12.21428571428572</v>
      </c>
      <c r="N174" s="3">
        <v>0.7</v>
      </c>
      <c r="O174" s="3">
        <v>0.68</v>
      </c>
      <c r="P174" s="4">
        <v>0.9714285714285715</v>
      </c>
      <c r="Q174" s="1">
        <v>0</v>
      </c>
      <c r="R174" s="4">
        <v>0</v>
      </c>
      <c r="T174" s="1" t="s">
        <v>335</v>
      </c>
      <c r="U174" s="1" t="s">
        <v>336</v>
      </c>
      <c r="V174" s="1" t="s">
        <v>341</v>
      </c>
      <c r="W174" s="6" t="s">
        <v>342</v>
      </c>
      <c r="Y174" s="10">
        <v>46163</v>
      </c>
      <c r="Z174" s="1" t="s">
        <v>358</v>
      </c>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row>
    <row r="175" spans="1:52">
      <c r="A175" s="8" t="s">
        <v>199</v>
      </c>
      <c r="B175" s="2">
        <f>HYPERLINK("https://www.suredividend.com/sure-analysis-MOS/","The Mosaic Company")</f>
        <v>0</v>
      </c>
      <c r="C175" s="1" t="s">
        <v>263</v>
      </c>
      <c r="D175" s="3">
        <v>22.44</v>
      </c>
      <c r="E175" s="3">
        <v>21.67</v>
      </c>
      <c r="F175" s="3">
        <v>10.12</v>
      </c>
      <c r="G175" s="4">
        <v>2.141304347826087</v>
      </c>
      <c r="H175" s="4">
        <v>0.04060913705583756</v>
      </c>
      <c r="I175" s="4">
        <v>-0.1412548046002462</v>
      </c>
      <c r="J175" s="4">
        <v>0.2</v>
      </c>
      <c r="K175" s="4">
        <v>0.06613479888417229</v>
      </c>
      <c r="L175" s="1" t="s">
        <v>270</v>
      </c>
      <c r="M175" s="5">
        <v>23.55434782608696</v>
      </c>
      <c r="N175" s="3">
        <v>0.92</v>
      </c>
      <c r="O175" s="3">
        <v>0.88</v>
      </c>
      <c r="P175" s="4">
        <v>0.9565217391304347</v>
      </c>
      <c r="Q175" s="1">
        <v>7</v>
      </c>
      <c r="R175" s="4">
        <v>0.01966570441215199</v>
      </c>
      <c r="S175" s="1" t="s">
        <v>303</v>
      </c>
      <c r="T175" s="1" t="s">
        <v>332</v>
      </c>
      <c r="U175" s="1" t="s">
        <v>336</v>
      </c>
      <c r="V175" s="1" t="s">
        <v>340</v>
      </c>
      <c r="W175" s="6" t="s">
        <v>347</v>
      </c>
      <c r="X175" s="7">
        <v>6906.807574</v>
      </c>
      <c r="Y175" s="10">
        <v>46187</v>
      </c>
      <c r="Z175" s="1" t="s">
        <v>357</v>
      </c>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row>
    <row r="176" spans="1:52">
      <c r="A176" s="8" t="s">
        <v>200</v>
      </c>
      <c r="B176" s="2">
        <f>HYPERLINK("https://www.suredividend.com/sure-analysis-ET/","Energy Transfer LP")</f>
        <v>0</v>
      </c>
      <c r="C176" s="1" t="s">
        <v>263</v>
      </c>
      <c r="D176" s="3">
        <v>20</v>
      </c>
      <c r="E176" s="3">
        <v>19.12</v>
      </c>
      <c r="F176" s="3">
        <v>15</v>
      </c>
      <c r="G176" s="4">
        <v>1.274666666666667</v>
      </c>
      <c r="H176" s="4">
        <v>0.07060669456066945</v>
      </c>
      <c r="I176" s="4">
        <v>-0.04737785244872472</v>
      </c>
      <c r="J176" s="4">
        <v>0.05</v>
      </c>
      <c r="K176" s="4">
        <v>0.0659143182885209</v>
      </c>
      <c r="L176" s="1" t="s">
        <v>270</v>
      </c>
      <c r="M176" s="5">
        <v>6.828571428571429</v>
      </c>
      <c r="N176" s="3">
        <v>2.8</v>
      </c>
      <c r="O176" s="3">
        <v>1.35</v>
      </c>
      <c r="P176" s="4">
        <v>0.4821428571428572</v>
      </c>
      <c r="Q176" s="1">
        <v>5</v>
      </c>
      <c r="R176" s="4">
        <v>0.01993031414988899</v>
      </c>
      <c r="S176" s="1" t="s">
        <v>304</v>
      </c>
      <c r="T176" s="1" t="s">
        <v>332</v>
      </c>
      <c r="U176" s="1" t="s">
        <v>337</v>
      </c>
      <c r="V176" s="1" t="s">
        <v>340</v>
      </c>
      <c r="W176" s="6" t="s">
        <v>351</v>
      </c>
      <c r="X176" s="7">
        <v>37895.58987</v>
      </c>
      <c r="Y176" s="10">
        <v>46154</v>
      </c>
      <c r="Z176" s="1" t="s">
        <v>362</v>
      </c>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row>
    <row r="177" spans="1:52">
      <c r="A177" s="8" t="s">
        <v>201</v>
      </c>
      <c r="B177" s="2">
        <f>HYPERLINK("https://www.suredividend.com/sure-analysis-AGNC/","AGNC Investment Corp")</f>
        <v>0</v>
      </c>
      <c r="C177" s="1" t="s">
        <v>264</v>
      </c>
      <c r="D177" s="3">
        <v>10.96</v>
      </c>
      <c r="E177" s="3">
        <v>10.63</v>
      </c>
      <c r="F177" s="3">
        <v>7.8</v>
      </c>
      <c r="G177" s="4">
        <v>1.362820512820513</v>
      </c>
      <c r="H177" s="4">
        <v>0.1354656632173095</v>
      </c>
      <c r="I177" s="4">
        <v>-0.06003373412743118</v>
      </c>
      <c r="J177" s="4">
        <v>-0.01</v>
      </c>
      <c r="K177" s="4">
        <v>0.06578422800284689</v>
      </c>
      <c r="L177" s="1" t="s">
        <v>270</v>
      </c>
      <c r="M177" s="5">
        <v>6.727848101265823</v>
      </c>
      <c r="N177" s="3">
        <v>1.58</v>
      </c>
      <c r="O177" s="3">
        <v>1.44</v>
      </c>
      <c r="P177" s="4">
        <v>0.9113924050632911</v>
      </c>
      <c r="Q177" s="1">
        <v>0</v>
      </c>
      <c r="R177" s="4">
        <v>0</v>
      </c>
      <c r="S177" s="1" t="s">
        <v>287</v>
      </c>
      <c r="T177" s="1" t="s">
        <v>335</v>
      </c>
      <c r="U177" s="1" t="s">
        <v>338</v>
      </c>
      <c r="V177" s="1" t="s">
        <v>340</v>
      </c>
      <c r="W177" s="6" t="s">
        <v>350</v>
      </c>
      <c r="X177" s="7">
        <v>12191.008869</v>
      </c>
      <c r="Y177" s="10">
        <v>46138</v>
      </c>
      <c r="Z177" s="1" t="s">
        <v>357</v>
      </c>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row>
    <row r="178" spans="1:52">
      <c r="A178" s="8" t="s">
        <v>202</v>
      </c>
      <c r="B178" s="2">
        <f>HYPERLINK("https://www.suredividend.com/sure-analysis-LAND/","Gladstone Land Corp")</f>
        <v>0</v>
      </c>
      <c r="C178" s="1" t="s">
        <v>263</v>
      </c>
      <c r="D178" s="3">
        <v>9.59</v>
      </c>
      <c r="E178" s="3">
        <v>8.5</v>
      </c>
      <c r="F178" s="3">
        <v>8.4</v>
      </c>
      <c r="G178" s="4">
        <v>1.011904761904762</v>
      </c>
      <c r="H178" s="4">
        <v>0.06588235294117648</v>
      </c>
      <c r="I178" s="4">
        <v>-0.002364092650294469</v>
      </c>
      <c r="J178" s="4">
        <v>0.02</v>
      </c>
      <c r="K178" s="4">
        <v>0.06545362151064538</v>
      </c>
      <c r="L178" s="1" t="s">
        <v>270</v>
      </c>
      <c r="M178" s="5">
        <v>21.25</v>
      </c>
      <c r="N178" s="3">
        <v>0.4</v>
      </c>
      <c r="O178" s="3">
        <v>0.5600000000000001</v>
      </c>
      <c r="P178" s="4">
        <v>1.4</v>
      </c>
      <c r="Q178" s="1">
        <v>10</v>
      </c>
      <c r="R178" s="4">
        <v>-0.05145904800904832</v>
      </c>
      <c r="S178" s="1" t="s">
        <v>322</v>
      </c>
      <c r="T178" s="1" t="s">
        <v>335</v>
      </c>
      <c r="U178" s="1" t="s">
        <v>338</v>
      </c>
      <c r="V178" s="1" t="s">
        <v>340</v>
      </c>
      <c r="W178" s="6" t="s">
        <v>350</v>
      </c>
      <c r="X178" s="7">
        <v>366.660871</v>
      </c>
      <c r="Y178" s="10">
        <v>46174</v>
      </c>
      <c r="Z178" s="1" t="s">
        <v>353</v>
      </c>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row>
    <row r="179" spans="1:52">
      <c r="A179" s="8" t="s">
        <v>203</v>
      </c>
      <c r="B179" s="2">
        <f>HYPERLINK("https://www.suredividend.com/sure-analysis-CTRRF/","CT Real Estate Investment Trust")</f>
        <v>0</v>
      </c>
      <c r="C179" s="1" t="s">
        <v>263</v>
      </c>
      <c r="D179" s="3">
        <v>13.49</v>
      </c>
      <c r="E179" s="3">
        <v>12.85</v>
      </c>
      <c r="F179" s="3">
        <v>12.22</v>
      </c>
      <c r="G179" s="4">
        <v>1.051554828150573</v>
      </c>
      <c r="H179" s="4">
        <v>0.05525291828793774</v>
      </c>
      <c r="I179" s="4">
        <v>-0.010003599302851</v>
      </c>
      <c r="J179" s="4">
        <v>0.025</v>
      </c>
      <c r="K179" s="4">
        <v>0.06543397093836578</v>
      </c>
      <c r="L179" s="1" t="s">
        <v>270</v>
      </c>
      <c r="M179" s="5">
        <v>13.67021276595745</v>
      </c>
      <c r="N179" s="3">
        <v>0.9399999999999999</v>
      </c>
      <c r="O179" s="3">
        <v>0.71</v>
      </c>
      <c r="P179" s="4">
        <v>0.7553191489361702</v>
      </c>
      <c r="Q179" s="1">
        <v>13</v>
      </c>
      <c r="R179" s="4">
        <v>0.02415650466561892</v>
      </c>
      <c r="T179" s="1" t="s">
        <v>335</v>
      </c>
      <c r="U179" s="1" t="s">
        <v>338</v>
      </c>
      <c r="V179" s="1" t="s">
        <v>341</v>
      </c>
      <c r="W179" s="6" t="s">
        <v>350</v>
      </c>
      <c r="Y179" s="10">
        <v>46159</v>
      </c>
      <c r="Z179" s="1" t="s">
        <v>357</v>
      </c>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row>
    <row r="180" spans="1:52">
      <c r="A180" s="8" t="s">
        <v>204</v>
      </c>
      <c r="B180" s="2">
        <f>HYPERLINK("https://www.suredividend.com/sure-analysis-HSHP/","Himalaya Shipping Ltd.")</f>
        <v>0</v>
      </c>
      <c r="C180" s="1" t="s">
        <v>264</v>
      </c>
      <c r="D180" s="3">
        <v>14.34</v>
      </c>
      <c r="E180" s="3">
        <v>13.32</v>
      </c>
      <c r="F180" s="3">
        <v>12.54</v>
      </c>
      <c r="G180" s="4">
        <v>1.062200956937799</v>
      </c>
      <c r="H180" s="4">
        <v>0.08558558558558557</v>
      </c>
      <c r="I180" s="4">
        <v>-0.01199609220252962</v>
      </c>
      <c r="J180" s="4">
        <v>0</v>
      </c>
      <c r="K180" s="4">
        <v>0.0648884627948918</v>
      </c>
      <c r="L180" s="1" t="s">
        <v>270</v>
      </c>
      <c r="M180" s="5">
        <v>11.68421052631579</v>
      </c>
      <c r="N180" s="3">
        <v>1.14</v>
      </c>
      <c r="O180" s="3">
        <v>1.14</v>
      </c>
      <c r="P180" s="4">
        <v>1</v>
      </c>
      <c r="Q180" s="1">
        <v>0</v>
      </c>
      <c r="R180" s="4">
        <v>0</v>
      </c>
      <c r="T180" s="1" t="s">
        <v>335</v>
      </c>
      <c r="U180" s="1" t="s">
        <v>336</v>
      </c>
      <c r="V180" s="1" t="s">
        <v>341</v>
      </c>
      <c r="W180" s="6" t="s">
        <v>352</v>
      </c>
      <c r="X180" s="7">
        <v>639.5715</v>
      </c>
      <c r="Y180" s="10">
        <v>46167</v>
      </c>
      <c r="Z180" s="1" t="s">
        <v>358</v>
      </c>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row>
    <row r="181" spans="1:52">
      <c r="A181" s="8" t="s">
        <v>205</v>
      </c>
      <c r="B181" s="2">
        <f>HYPERLINK("https://www.suredividend.com/sure-analysis-OLYFF/","Olympia Financial Group Inc.")</f>
        <v>0</v>
      </c>
      <c r="C181" s="1" t="s">
        <v>264</v>
      </c>
      <c r="D181" s="3">
        <v>84</v>
      </c>
      <c r="E181" s="3">
        <v>78</v>
      </c>
      <c r="F181" s="3">
        <v>60</v>
      </c>
      <c r="G181" s="4">
        <v>1.3</v>
      </c>
      <c r="H181" s="4">
        <v>0.0667948717948718</v>
      </c>
      <c r="I181" s="4">
        <v>-0.05111991994525078</v>
      </c>
      <c r="J181" s="4">
        <v>0.05</v>
      </c>
      <c r="K181" s="4">
        <v>0.06487981385061969</v>
      </c>
      <c r="L181" s="1" t="s">
        <v>270</v>
      </c>
      <c r="M181" s="5">
        <v>13</v>
      </c>
      <c r="N181" s="3">
        <v>6</v>
      </c>
      <c r="O181" s="3">
        <v>5.21</v>
      </c>
      <c r="P181" s="4">
        <v>0.8683333333333333</v>
      </c>
      <c r="Q181" s="1">
        <v>0</v>
      </c>
      <c r="R181" s="4">
        <v>0.05001809754757947</v>
      </c>
      <c r="T181" s="1" t="s">
        <v>335</v>
      </c>
      <c r="U181" s="1" t="s">
        <v>336</v>
      </c>
      <c r="V181" s="1" t="s">
        <v>341</v>
      </c>
      <c r="W181" s="6" t="s">
        <v>342</v>
      </c>
      <c r="Y181" s="10">
        <v>46167</v>
      </c>
      <c r="Z181" s="1" t="s">
        <v>358</v>
      </c>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row>
    <row r="182" spans="1:52">
      <c r="A182" s="8" t="s">
        <v>206</v>
      </c>
      <c r="B182" s="2">
        <f>HYPERLINK("https://www.suredividend.com/sure-analysis-GWRS/","Global Water Resources Inc")</f>
        <v>0</v>
      </c>
      <c r="C182" s="1" t="s">
        <v>263</v>
      </c>
      <c r="D182" s="3">
        <v>6.7</v>
      </c>
      <c r="E182" s="3">
        <v>7</v>
      </c>
      <c r="F182" s="3">
        <v>5.94</v>
      </c>
      <c r="G182" s="4">
        <v>1.178451178451178</v>
      </c>
      <c r="H182" s="4">
        <v>0.04285714285714286</v>
      </c>
      <c r="I182" s="4">
        <v>-0.03230681842976879</v>
      </c>
      <c r="J182" s="4">
        <v>0.06</v>
      </c>
      <c r="K182" s="4">
        <v>0.06447648528055838</v>
      </c>
      <c r="L182" s="1" t="s">
        <v>270</v>
      </c>
      <c r="M182" s="5">
        <v>21.21212121212121</v>
      </c>
      <c r="N182" s="3">
        <v>0.33</v>
      </c>
      <c r="O182" s="3">
        <v>0.3</v>
      </c>
      <c r="P182" s="4">
        <v>0.9090909090909091</v>
      </c>
      <c r="Q182" s="1">
        <v>10</v>
      </c>
      <c r="R182" s="4">
        <v>0.02534857565773274</v>
      </c>
      <c r="S182" s="1" t="s">
        <v>282</v>
      </c>
      <c r="T182" s="1" t="s">
        <v>335</v>
      </c>
      <c r="U182" s="1" t="s">
        <v>336</v>
      </c>
      <c r="V182" s="1" t="s">
        <v>340</v>
      </c>
      <c r="W182" s="6" t="s">
        <v>349</v>
      </c>
      <c r="X182" s="7">
        <v>202.208347</v>
      </c>
      <c r="Y182" s="10">
        <v>46160</v>
      </c>
      <c r="Z182" s="1" t="s">
        <v>358</v>
      </c>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row>
    <row r="183" spans="1:52">
      <c r="A183" s="8" t="s">
        <v>207</v>
      </c>
      <c r="B183" s="2">
        <f>HYPERLINK("https://www.suredividend.com/sure-analysis-FRHLF/","Freehold Royalties Ltd.")</f>
        <v>0</v>
      </c>
      <c r="C183" s="1" t="s">
        <v>264</v>
      </c>
      <c r="D183" s="3">
        <v>11.95</v>
      </c>
      <c r="E183" s="3">
        <v>11.48</v>
      </c>
      <c r="F183" s="3">
        <v>11.2</v>
      </c>
      <c r="G183" s="4">
        <v>1.025</v>
      </c>
      <c r="H183" s="4">
        <v>0.06707317073170732</v>
      </c>
      <c r="I183" s="4">
        <v>-0.00492634806525849</v>
      </c>
      <c r="J183" s="4">
        <v>0.01</v>
      </c>
      <c r="K183" s="4">
        <v>0.0635431795084036</v>
      </c>
      <c r="L183" s="1" t="s">
        <v>270</v>
      </c>
      <c r="M183" s="5">
        <v>14.35</v>
      </c>
      <c r="N183" s="3">
        <v>0.8</v>
      </c>
      <c r="O183" s="3">
        <v>0.77</v>
      </c>
      <c r="P183" s="4">
        <v>0.9625</v>
      </c>
      <c r="Q183" s="1">
        <v>0</v>
      </c>
      <c r="R183" s="4">
        <v>0</v>
      </c>
      <c r="T183" s="1" t="s">
        <v>335</v>
      </c>
      <c r="U183" s="1" t="s">
        <v>336</v>
      </c>
      <c r="V183" s="1" t="s">
        <v>341</v>
      </c>
      <c r="W183" s="6" t="s">
        <v>351</v>
      </c>
      <c r="Y183" s="10">
        <v>46190</v>
      </c>
      <c r="Z183" s="1" t="s">
        <v>363</v>
      </c>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row>
    <row r="184" spans="1:52">
      <c r="A184" s="8" t="s">
        <v>208</v>
      </c>
      <c r="B184" s="2">
        <f>HYPERLINK("https://www.suredividend.com/sure-analysis-PZRIF/","Pizza Pizza Royalty Corp.")</f>
        <v>0</v>
      </c>
      <c r="C184" s="1" t="s">
        <v>264</v>
      </c>
      <c r="D184" s="3">
        <v>8.949999999999999</v>
      </c>
      <c r="E184" s="3">
        <v>9.19</v>
      </c>
      <c r="F184" s="3">
        <v>8.960000000000001</v>
      </c>
      <c r="G184" s="4">
        <v>1.025669642857143</v>
      </c>
      <c r="H184" s="4">
        <v>0.06420021762785637</v>
      </c>
      <c r="I184" s="4">
        <v>-0.005056315458599969</v>
      </c>
      <c r="J184" s="4">
        <v>0.01</v>
      </c>
      <c r="K184" s="4">
        <v>0.06271250209042378</v>
      </c>
      <c r="L184" s="1" t="s">
        <v>270</v>
      </c>
      <c r="M184" s="5">
        <v>14.359375</v>
      </c>
      <c r="N184" s="3">
        <v>0.64</v>
      </c>
      <c r="O184" s="3">
        <v>0.59</v>
      </c>
      <c r="P184" s="4">
        <v>0.9218749999999999</v>
      </c>
      <c r="Q184" s="1">
        <v>0</v>
      </c>
      <c r="R184" s="4">
        <v>0.009968748431958607</v>
      </c>
      <c r="T184" s="1" t="s">
        <v>335</v>
      </c>
      <c r="U184" s="1" t="s">
        <v>336</v>
      </c>
      <c r="V184" s="1" t="s">
        <v>341</v>
      </c>
      <c r="W184" s="6" t="s">
        <v>345</v>
      </c>
      <c r="Y184" s="10">
        <v>46165</v>
      </c>
      <c r="Z184" s="1" t="s">
        <v>363</v>
      </c>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row>
    <row r="185" spans="1:52">
      <c r="A185" s="8" t="s">
        <v>209</v>
      </c>
      <c r="B185" s="2">
        <f>HYPERLINK("https://www.suredividend.com/sure-analysis-NRRUF/","Northview Residential REIT")</f>
        <v>0</v>
      </c>
      <c r="C185" s="1" t="s">
        <v>264</v>
      </c>
      <c r="D185" s="3">
        <v>11.46</v>
      </c>
      <c r="E185" s="3">
        <v>11.46</v>
      </c>
      <c r="F185" s="3">
        <v>11.55</v>
      </c>
      <c r="G185" s="4">
        <v>0.9922077922077922</v>
      </c>
      <c r="H185" s="4">
        <v>0.06893542757417102</v>
      </c>
      <c r="I185" s="4">
        <v>0.001565769675515805</v>
      </c>
      <c r="J185" s="4">
        <v>0</v>
      </c>
      <c r="K185" s="4">
        <v>0.06225654615166287</v>
      </c>
      <c r="L185" s="1" t="s">
        <v>270</v>
      </c>
      <c r="M185" s="5">
        <v>6.945454545454546</v>
      </c>
      <c r="N185" s="3">
        <v>1.65</v>
      </c>
      <c r="O185" s="3">
        <v>0.79</v>
      </c>
      <c r="P185" s="4">
        <v>0.4787878787878788</v>
      </c>
      <c r="Q185" s="1">
        <v>0</v>
      </c>
      <c r="R185" s="4">
        <v>0</v>
      </c>
      <c r="T185" s="1" t="s">
        <v>335</v>
      </c>
      <c r="U185" s="1" t="s">
        <v>338</v>
      </c>
      <c r="V185" s="1" t="s">
        <v>341</v>
      </c>
      <c r="W185" s="6" t="s">
        <v>350</v>
      </c>
      <c r="Y185" s="10">
        <v>46167</v>
      </c>
      <c r="Z185" s="1" t="s">
        <v>358</v>
      </c>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row>
    <row r="186" spans="1:52">
      <c r="A186" s="8" t="s">
        <v>210</v>
      </c>
      <c r="B186" s="2">
        <f>HYPERLINK("https://www.suredividend.com/sure-analysis-WPC/","W. P. Carey Inc")</f>
        <v>0</v>
      </c>
      <c r="C186" s="1" t="s">
        <v>263</v>
      </c>
      <c r="D186" s="3">
        <v>74</v>
      </c>
      <c r="E186" s="3">
        <v>73.34999999999999</v>
      </c>
      <c r="F186" s="3">
        <v>68</v>
      </c>
      <c r="G186" s="4">
        <v>1.078676470588235</v>
      </c>
      <c r="H186" s="4">
        <v>0.05126107702794819</v>
      </c>
      <c r="I186" s="4">
        <v>-0.01503282169459419</v>
      </c>
      <c r="J186" s="4">
        <v>0.03</v>
      </c>
      <c r="K186" s="4">
        <v>0.06109776129083433</v>
      </c>
      <c r="L186" s="1" t="s">
        <v>270</v>
      </c>
      <c r="M186" s="5">
        <v>14.07869481765835</v>
      </c>
      <c r="N186" s="3">
        <v>5.21</v>
      </c>
      <c r="O186" s="3">
        <v>3.76</v>
      </c>
      <c r="P186" s="4">
        <v>0.7216890595009596</v>
      </c>
      <c r="Q186" s="1">
        <v>2</v>
      </c>
      <c r="R186" s="4">
        <v>0.01796019300091967</v>
      </c>
      <c r="S186" s="1" t="s">
        <v>320</v>
      </c>
      <c r="T186" s="1" t="s">
        <v>332</v>
      </c>
      <c r="U186" s="1" t="s">
        <v>338</v>
      </c>
      <c r="V186" s="1" t="s">
        <v>340</v>
      </c>
      <c r="W186" s="6" t="s">
        <v>350</v>
      </c>
      <c r="X186" s="7">
        <v>16337.913352</v>
      </c>
      <c r="Y186" s="10">
        <v>46161</v>
      </c>
      <c r="Z186" s="1" t="s">
        <v>361</v>
      </c>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row>
    <row r="187" spans="1:52">
      <c r="A187" s="8" t="s">
        <v>211</v>
      </c>
      <c r="B187" s="2">
        <f>HYPERLINK("https://www.suredividend.com/sure-analysis-AMIVF/","Atrium Mortgage Investment Corporation")</f>
        <v>0</v>
      </c>
      <c r="C187" s="1" t="s">
        <v>263</v>
      </c>
      <c r="D187" s="3">
        <v>8.57</v>
      </c>
      <c r="E187" s="3">
        <v>8.42</v>
      </c>
      <c r="F187" s="3">
        <v>7.92</v>
      </c>
      <c r="G187" s="4">
        <v>1.063131313131313</v>
      </c>
      <c r="H187" s="4">
        <v>0.07957244655581948</v>
      </c>
      <c r="I187" s="4">
        <v>-0.01216907506385445</v>
      </c>
      <c r="J187" s="4">
        <v>0</v>
      </c>
      <c r="K187" s="4">
        <v>0.06004027211064589</v>
      </c>
      <c r="L187" s="1" t="s">
        <v>270</v>
      </c>
      <c r="M187" s="5">
        <v>11.69444444444444</v>
      </c>
      <c r="N187" s="3">
        <v>0.72</v>
      </c>
      <c r="O187" s="3">
        <v>0.67</v>
      </c>
      <c r="P187" s="4">
        <v>0.9305555555555557</v>
      </c>
      <c r="Q187" s="1">
        <v>1</v>
      </c>
      <c r="R187" s="4">
        <v>0</v>
      </c>
      <c r="T187" s="1" t="s">
        <v>335</v>
      </c>
      <c r="U187" s="1" t="s">
        <v>336</v>
      </c>
      <c r="V187" s="1" t="s">
        <v>341</v>
      </c>
      <c r="W187" s="6" t="s">
        <v>342</v>
      </c>
      <c r="Y187" s="10">
        <v>46173</v>
      </c>
      <c r="Z187" s="1" t="s">
        <v>357</v>
      </c>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row>
    <row r="188" spans="1:52">
      <c r="A188" s="8" t="s">
        <v>212</v>
      </c>
      <c r="B188" s="2">
        <f>HYPERLINK("https://www.suredividend.com/sure-analysis-MPLX/","MPLX LP")</f>
        <v>0</v>
      </c>
      <c r="C188" s="1" t="s">
        <v>263</v>
      </c>
      <c r="D188" s="3">
        <v>54</v>
      </c>
      <c r="E188" s="3">
        <v>56.24</v>
      </c>
      <c r="F188" s="3">
        <v>44</v>
      </c>
      <c r="G188" s="4">
        <v>1.278181818181818</v>
      </c>
      <c r="H188" s="4">
        <v>0.07663584637268847</v>
      </c>
      <c r="I188" s="4">
        <v>-0.04790239455356549</v>
      </c>
      <c r="J188" s="4">
        <v>0.03</v>
      </c>
      <c r="K188" s="4">
        <v>0.05809258049763177</v>
      </c>
      <c r="L188" s="1" t="s">
        <v>270</v>
      </c>
      <c r="M188" s="5">
        <v>9.532203389830508</v>
      </c>
      <c r="N188" s="3">
        <v>5.9</v>
      </c>
      <c r="O188" s="3">
        <v>4.31</v>
      </c>
      <c r="P188" s="4">
        <v>0.7305084745762711</v>
      </c>
      <c r="Q188" s="1">
        <v>13</v>
      </c>
      <c r="R188" s="4">
        <v>0.03014544567298949</v>
      </c>
      <c r="S188" s="1" t="s">
        <v>304</v>
      </c>
      <c r="T188" s="1" t="s">
        <v>332</v>
      </c>
      <c r="U188" s="1" t="s">
        <v>337</v>
      </c>
      <c r="V188" s="1" t="s">
        <v>340</v>
      </c>
      <c r="W188" s="6" t="s">
        <v>351</v>
      </c>
      <c r="X188" s="7">
        <v>34190.518339</v>
      </c>
      <c r="Y188" s="10">
        <v>46154</v>
      </c>
      <c r="Z188" s="1" t="s">
        <v>362</v>
      </c>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row>
    <row r="189" spans="1:52">
      <c r="A189" s="8" t="s">
        <v>213</v>
      </c>
      <c r="B189" s="2">
        <f>HYPERLINK("https://www.suredividend.com/sure-analysis-E/","Eni Spa")</f>
        <v>0</v>
      </c>
      <c r="C189" s="1" t="s">
        <v>263</v>
      </c>
      <c r="D189" s="3">
        <v>55</v>
      </c>
      <c r="E189" s="3">
        <v>46.08</v>
      </c>
      <c r="F189" s="3">
        <v>63</v>
      </c>
      <c r="G189" s="4">
        <v>0.7314285714285714</v>
      </c>
      <c r="H189" s="4">
        <v>0.05251736111111111</v>
      </c>
      <c r="I189" s="4">
        <v>0.06454890068642571</v>
      </c>
      <c r="J189" s="4">
        <v>-0.05</v>
      </c>
      <c r="K189" s="4">
        <v>0.05759114415560651</v>
      </c>
      <c r="L189" s="1" t="s">
        <v>270</v>
      </c>
      <c r="M189" s="5">
        <v>9.215999999999999</v>
      </c>
      <c r="N189" s="3">
        <v>5</v>
      </c>
      <c r="O189" s="3">
        <v>2.42</v>
      </c>
      <c r="P189" s="4">
        <v>0.484</v>
      </c>
      <c r="Q189" s="1">
        <v>6</v>
      </c>
      <c r="R189" s="4">
        <v>0.003284142974534499</v>
      </c>
      <c r="S189" s="1" t="s">
        <v>307</v>
      </c>
      <c r="T189" s="1" t="s">
        <v>332</v>
      </c>
      <c r="U189" s="1" t="s">
        <v>336</v>
      </c>
      <c r="V189" s="1" t="s">
        <v>341</v>
      </c>
      <c r="W189" s="6" t="s">
        <v>351</v>
      </c>
      <c r="X189" s="7">
        <v>73618.569842</v>
      </c>
      <c r="Y189" s="10">
        <v>46137</v>
      </c>
      <c r="Z189" s="1" t="s">
        <v>362</v>
      </c>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row>
    <row r="190" spans="1:52">
      <c r="A190" s="8" t="s">
        <v>214</v>
      </c>
      <c r="B190" s="2">
        <f>HYPERLINK("https://www.suredividend.com/sure-analysis-BSET/","Bassett Furniture Industries, Inc.")</f>
        <v>0</v>
      </c>
      <c r="C190" s="1" t="s">
        <v>263</v>
      </c>
      <c r="D190" s="3">
        <v>14.07</v>
      </c>
      <c r="E190" s="3">
        <v>16.71</v>
      </c>
      <c r="F190" s="3">
        <v>9.9</v>
      </c>
      <c r="G190" s="4">
        <v>1.687878787878788</v>
      </c>
      <c r="H190" s="4">
        <v>0.04787552363853979</v>
      </c>
      <c r="I190" s="4">
        <v>-0.09940040164831487</v>
      </c>
      <c r="J190" s="4">
        <v>0.12</v>
      </c>
      <c r="K190" s="4">
        <v>0.05737110043809279</v>
      </c>
      <c r="L190" s="1" t="s">
        <v>270</v>
      </c>
      <c r="M190" s="5">
        <v>18.56666666666667</v>
      </c>
      <c r="N190" s="3">
        <v>0.9</v>
      </c>
      <c r="O190" s="3">
        <v>0.8</v>
      </c>
      <c r="P190" s="4">
        <v>0.888888888888889</v>
      </c>
      <c r="Q190" s="1">
        <v>5</v>
      </c>
      <c r="R190" s="4">
        <v>0.04978904632428516</v>
      </c>
      <c r="S190" s="1" t="s">
        <v>301</v>
      </c>
      <c r="T190" s="1" t="s">
        <v>332</v>
      </c>
      <c r="U190" s="1" t="s">
        <v>336</v>
      </c>
      <c r="V190" s="1" t="s">
        <v>340</v>
      </c>
      <c r="W190" s="6" t="s">
        <v>345</v>
      </c>
      <c r="X190" s="7">
        <v>145.100587</v>
      </c>
      <c r="Y190" s="10">
        <v>46160</v>
      </c>
      <c r="Z190" s="1" t="s">
        <v>353</v>
      </c>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row>
    <row r="191" spans="1:52">
      <c r="A191" s="8" t="s">
        <v>215</v>
      </c>
      <c r="B191" s="2">
        <f>HYPERLINK("https://www.suredividend.com/sure-analysis-RIOCF/","RioCan Real Estate Investment Trust")</f>
        <v>0</v>
      </c>
      <c r="C191" s="1" t="s">
        <v>263</v>
      </c>
      <c r="D191" s="3">
        <v>15.89</v>
      </c>
      <c r="E191" s="3">
        <v>16</v>
      </c>
      <c r="F191" s="3">
        <v>14.63</v>
      </c>
      <c r="G191" s="4">
        <v>1.093643198906357</v>
      </c>
      <c r="H191" s="4">
        <v>0.0525</v>
      </c>
      <c r="I191" s="4">
        <v>-0.01774359659117031</v>
      </c>
      <c r="J191" s="4">
        <v>0.025</v>
      </c>
      <c r="K191" s="4">
        <v>0.05608225817059509</v>
      </c>
      <c r="L191" s="1" t="s">
        <v>270</v>
      </c>
      <c r="M191" s="5">
        <v>13.67521367521368</v>
      </c>
      <c r="N191" s="3">
        <v>1.17</v>
      </c>
      <c r="O191" s="3">
        <v>0.84</v>
      </c>
      <c r="P191" s="4">
        <v>0.717948717948718</v>
      </c>
      <c r="Q191" s="1">
        <v>4</v>
      </c>
      <c r="R191" s="4">
        <v>0.02056514630321193</v>
      </c>
      <c r="T191" s="1" t="s">
        <v>335</v>
      </c>
      <c r="U191" s="1" t="s">
        <v>338</v>
      </c>
      <c r="V191" s="1" t="s">
        <v>341</v>
      </c>
      <c r="W191" s="6" t="s">
        <v>350</v>
      </c>
      <c r="Y191" s="10">
        <v>46169</v>
      </c>
      <c r="Z191" s="1" t="s">
        <v>357</v>
      </c>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row>
    <row r="192" spans="1:52">
      <c r="A192" s="8" t="s">
        <v>216</v>
      </c>
      <c r="B192" s="2">
        <f>HYPERLINK("https://www.suredividend.com/sure-analysis-AMSF/","Amerisafe Inc")</f>
        <v>0</v>
      </c>
      <c r="C192" s="1" t="s">
        <v>263</v>
      </c>
      <c r="D192" s="3">
        <v>31</v>
      </c>
      <c r="E192" s="3">
        <v>31.82</v>
      </c>
      <c r="F192" s="3">
        <v>33</v>
      </c>
      <c r="G192" s="4">
        <v>0.9642424242424242</v>
      </c>
      <c r="H192" s="4">
        <v>0.05153991200502828</v>
      </c>
      <c r="I192" s="4">
        <v>0.007309089659218282</v>
      </c>
      <c r="J192" s="4">
        <v>0</v>
      </c>
      <c r="K192" s="4">
        <v>0.05558701056962123</v>
      </c>
      <c r="L192" s="1" t="s">
        <v>270</v>
      </c>
      <c r="M192" s="5">
        <v>14.59633027522936</v>
      </c>
      <c r="N192" s="3">
        <v>2.18</v>
      </c>
      <c r="O192" s="3">
        <v>1.64</v>
      </c>
      <c r="P192" s="4">
        <v>0.7522935779816513</v>
      </c>
      <c r="Q192" s="1">
        <v>14</v>
      </c>
      <c r="R192" s="4">
        <v>0.01992196624507558</v>
      </c>
      <c r="S192" s="1" t="s">
        <v>315</v>
      </c>
      <c r="T192" s="1" t="s">
        <v>332</v>
      </c>
      <c r="U192" s="1" t="s">
        <v>336</v>
      </c>
      <c r="V192" s="1" t="s">
        <v>340</v>
      </c>
      <c r="W192" s="6" t="s">
        <v>342</v>
      </c>
      <c r="X192" s="7">
        <v>595.341031</v>
      </c>
      <c r="Y192" s="10">
        <v>46136</v>
      </c>
      <c r="Z192" s="1" t="s">
        <v>358</v>
      </c>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row>
    <row r="193" spans="1:52">
      <c r="A193" s="8" t="s">
        <v>217</v>
      </c>
      <c r="B193" s="2">
        <f>HYPERLINK("https://www.suredividend.com/sure-analysis-AEG/","Aegon Ltd.")</f>
        <v>0</v>
      </c>
      <c r="C193" s="1" t="s">
        <v>263</v>
      </c>
      <c r="D193" s="3">
        <v>7.4</v>
      </c>
      <c r="E193" s="3">
        <v>8.41</v>
      </c>
      <c r="F193" s="3">
        <v>7.6</v>
      </c>
      <c r="G193" s="4">
        <v>1.106578947368421</v>
      </c>
      <c r="H193" s="4">
        <v>0.05826397146254459</v>
      </c>
      <c r="I193" s="4">
        <v>-0.02005089793879433</v>
      </c>
      <c r="J193" s="4">
        <v>0.02</v>
      </c>
      <c r="K193" s="4">
        <v>0.05495272402529872</v>
      </c>
      <c r="L193" s="1" t="s">
        <v>270</v>
      </c>
      <c r="M193" s="5">
        <v>8.852631578947369</v>
      </c>
      <c r="N193" s="3">
        <v>0.95</v>
      </c>
      <c r="O193" s="3">
        <v>0.49</v>
      </c>
      <c r="P193" s="4">
        <v>0.5157894736842106</v>
      </c>
      <c r="Q193" s="1">
        <v>6</v>
      </c>
      <c r="R193" s="4">
        <v>0.01962279460665517</v>
      </c>
      <c r="S193" s="1" t="s">
        <v>282</v>
      </c>
      <c r="T193" s="1" t="s">
        <v>334</v>
      </c>
      <c r="U193" s="1" t="s">
        <v>336</v>
      </c>
      <c r="V193" s="1" t="s">
        <v>341</v>
      </c>
      <c r="W193" s="6" t="s">
        <v>342</v>
      </c>
      <c r="X193" s="7">
        <v>15958.826264</v>
      </c>
      <c r="Y193" s="10">
        <v>46078</v>
      </c>
      <c r="Z193" s="1" t="s">
        <v>362</v>
      </c>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row>
    <row r="194" spans="1:52">
      <c r="A194" s="8" t="s">
        <v>218</v>
      </c>
      <c r="B194" s="2">
        <f>HYPERLINK("https://www.suredividend.com/sure-analysis-OKE/","Oneok Inc.")</f>
        <v>0</v>
      </c>
      <c r="C194" s="1" t="s">
        <v>263</v>
      </c>
      <c r="D194" s="3">
        <v>95</v>
      </c>
      <c r="E194" s="3">
        <v>89.42</v>
      </c>
      <c r="F194" s="3">
        <v>81</v>
      </c>
      <c r="G194" s="4">
        <v>1.103950617283951</v>
      </c>
      <c r="H194" s="4">
        <v>0.04786401252516216</v>
      </c>
      <c r="I194" s="4">
        <v>-0.01958472122783639</v>
      </c>
      <c r="J194" s="4">
        <v>0.03</v>
      </c>
      <c r="K194" s="4">
        <v>0.05457509611279865</v>
      </c>
      <c r="L194" s="1" t="s">
        <v>270</v>
      </c>
      <c r="M194" s="5">
        <v>15.41724137931035</v>
      </c>
      <c r="N194" s="3">
        <v>5.8</v>
      </c>
      <c r="O194" s="3">
        <v>4.28</v>
      </c>
      <c r="P194" s="4">
        <v>0.7379310344827587</v>
      </c>
      <c r="Q194" s="1">
        <v>4</v>
      </c>
      <c r="R194" s="4">
        <v>0.02019566627646463</v>
      </c>
      <c r="S194" s="1" t="s">
        <v>276</v>
      </c>
      <c r="T194" s="1" t="s">
        <v>332</v>
      </c>
      <c r="U194" s="1" t="s">
        <v>336</v>
      </c>
      <c r="V194" s="1" t="s">
        <v>340</v>
      </c>
      <c r="W194" s="6" t="s">
        <v>351</v>
      </c>
      <c r="X194" s="7">
        <v>56400.540911</v>
      </c>
      <c r="Y194" s="10">
        <v>46161</v>
      </c>
      <c r="Z194" s="1" t="s">
        <v>361</v>
      </c>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row>
    <row r="195" spans="1:52">
      <c r="A195" s="8" t="s">
        <v>219</v>
      </c>
      <c r="B195" s="2">
        <f>HYPERLINK("https://www.suredividend.com/sure-analysis-CROMF/","Crombie Real Estate Investment Trust")</f>
        <v>0</v>
      </c>
      <c r="C195" s="1" t="s">
        <v>263</v>
      </c>
      <c r="D195" s="3">
        <v>12.4696</v>
      </c>
      <c r="E195" s="3">
        <v>12.28</v>
      </c>
      <c r="F195" s="3">
        <v>11.9</v>
      </c>
      <c r="G195" s="4">
        <v>1.031932773109244</v>
      </c>
      <c r="H195" s="4">
        <v>0.05374592833876222</v>
      </c>
      <c r="I195" s="4">
        <v>-0.006266984539644138</v>
      </c>
      <c r="J195" s="4">
        <v>0.01</v>
      </c>
      <c r="K195" s="4">
        <v>0.0529810466325531</v>
      </c>
      <c r="L195" s="1" t="s">
        <v>270</v>
      </c>
      <c r="M195" s="5">
        <v>14.44705882352941</v>
      </c>
      <c r="N195" s="3">
        <v>0.85</v>
      </c>
      <c r="O195" s="3">
        <v>0.66</v>
      </c>
      <c r="P195" s="4">
        <v>0.7764705882352941</v>
      </c>
      <c r="Q195" s="1">
        <v>1</v>
      </c>
      <c r="R195" s="4">
        <v>0.008929989071996269</v>
      </c>
      <c r="T195" s="1" t="s">
        <v>335</v>
      </c>
      <c r="U195" s="1" t="s">
        <v>338</v>
      </c>
      <c r="V195" s="1" t="s">
        <v>341</v>
      </c>
      <c r="W195" s="6" t="s">
        <v>350</v>
      </c>
      <c r="Y195" s="10">
        <v>46153</v>
      </c>
      <c r="Z195" s="1" t="s">
        <v>358</v>
      </c>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row>
    <row r="196" spans="1:52">
      <c r="A196" s="8" t="s">
        <v>220</v>
      </c>
      <c r="B196" s="2">
        <f>HYPERLINK("https://www.suredividend.com/sure-analysis-APYRF/","Allied Properties Real Estate Investment Trust")</f>
        <v>0</v>
      </c>
      <c r="C196" s="1" t="s">
        <v>264</v>
      </c>
      <c r="D196" s="3">
        <v>7.2</v>
      </c>
      <c r="E196" s="3">
        <v>7</v>
      </c>
      <c r="F196" s="3">
        <v>6.24</v>
      </c>
      <c r="G196" s="4">
        <v>1.121794871794872</v>
      </c>
      <c r="H196" s="4">
        <v>0.07571428571428572</v>
      </c>
      <c r="I196" s="4">
        <v>-0.02272382794243233</v>
      </c>
      <c r="J196" s="4">
        <v>0</v>
      </c>
      <c r="K196" s="4">
        <v>0.0489643877677659</v>
      </c>
      <c r="L196" s="1" t="s">
        <v>270</v>
      </c>
      <c r="M196" s="5">
        <v>8.974358974358974</v>
      </c>
      <c r="N196" s="3">
        <v>0.78</v>
      </c>
      <c r="O196" s="3">
        <v>0.53</v>
      </c>
      <c r="P196" s="4">
        <v>0.6794871794871795</v>
      </c>
      <c r="Q196" s="1">
        <v>0</v>
      </c>
      <c r="R196" s="4">
        <v>0</v>
      </c>
      <c r="T196" s="1" t="s">
        <v>335</v>
      </c>
      <c r="U196" s="1" t="s">
        <v>338</v>
      </c>
      <c r="V196" s="1" t="s">
        <v>341</v>
      </c>
      <c r="W196" s="6" t="s">
        <v>350</v>
      </c>
      <c r="Y196" s="10">
        <v>46146</v>
      </c>
      <c r="Z196" s="1" t="s">
        <v>358</v>
      </c>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row>
    <row r="197" spans="1:52">
      <c r="A197" s="8" t="s">
        <v>221</v>
      </c>
      <c r="B197" s="2">
        <f>HYPERLINK("https://www.suredividend.com/sure-analysis-BEVFF/","Diversified Royalty Corp.")</f>
        <v>0</v>
      </c>
      <c r="C197" s="1" t="s">
        <v>263</v>
      </c>
      <c r="D197" s="3">
        <v>3.52</v>
      </c>
      <c r="E197" s="3">
        <v>3.46</v>
      </c>
      <c r="F197" s="3">
        <v>3.15</v>
      </c>
      <c r="G197" s="4">
        <v>1.098412698412699</v>
      </c>
      <c r="H197" s="4">
        <v>0.06069364161849711</v>
      </c>
      <c r="I197" s="4">
        <v>-0.01859810778054649</v>
      </c>
      <c r="J197" s="4">
        <v>0.01</v>
      </c>
      <c r="K197" s="4">
        <v>0.04878746770562592</v>
      </c>
      <c r="L197" s="1" t="s">
        <v>270</v>
      </c>
      <c r="M197" s="5">
        <v>16.47619047619048</v>
      </c>
      <c r="N197" s="3">
        <v>0.21</v>
      </c>
      <c r="O197" s="3">
        <v>0.21</v>
      </c>
      <c r="P197" s="4">
        <v>1</v>
      </c>
      <c r="Q197" s="1">
        <v>6</v>
      </c>
      <c r="R197" s="4">
        <v>0.009347419909568888</v>
      </c>
      <c r="T197" s="1" t="s">
        <v>335</v>
      </c>
      <c r="U197" s="1" t="s">
        <v>336</v>
      </c>
      <c r="V197" s="1" t="s">
        <v>341</v>
      </c>
      <c r="W197" s="6" t="s">
        <v>345</v>
      </c>
      <c r="Y197" s="10">
        <v>46167</v>
      </c>
      <c r="Z197" s="1" t="s">
        <v>358</v>
      </c>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row>
    <row r="198" spans="1:52">
      <c r="A198" s="8" t="s">
        <v>222</v>
      </c>
      <c r="B198" s="2">
        <f>HYPERLINK("https://www.suredividend.com/sure-analysis-PPRQF/","Choice Properties Real Estate Investment Trust")</f>
        <v>0</v>
      </c>
      <c r="C198" s="1" t="s">
        <v>263</v>
      </c>
      <c r="D198" s="3">
        <v>11.37</v>
      </c>
      <c r="E198" s="3">
        <v>11.69</v>
      </c>
      <c r="F198" s="3">
        <v>10.53</v>
      </c>
      <c r="G198" s="4">
        <v>1.110161443494777</v>
      </c>
      <c r="H198" s="4">
        <v>0.04790419161676648</v>
      </c>
      <c r="I198" s="4">
        <v>-0.02068417596301209</v>
      </c>
      <c r="J198" s="4">
        <v>0.025</v>
      </c>
      <c r="K198" s="4">
        <v>0.04877107084993204</v>
      </c>
      <c r="L198" s="1" t="s">
        <v>270</v>
      </c>
      <c r="M198" s="5">
        <v>14.98717948717949</v>
      </c>
      <c r="N198" s="3">
        <v>0.78</v>
      </c>
      <c r="O198" s="3">
        <v>0.5600000000000001</v>
      </c>
      <c r="P198" s="4">
        <v>0.717948717948718</v>
      </c>
      <c r="Q198" s="1">
        <v>4</v>
      </c>
      <c r="R198" s="4">
        <v>0.01389421401466451</v>
      </c>
      <c r="T198" s="1" t="s">
        <v>335</v>
      </c>
      <c r="U198" s="1" t="s">
        <v>338</v>
      </c>
      <c r="V198" s="1" t="s">
        <v>341</v>
      </c>
      <c r="W198" s="6" t="s">
        <v>350</v>
      </c>
      <c r="Y198" s="10">
        <v>46195</v>
      </c>
      <c r="Z198" s="1" t="s">
        <v>357</v>
      </c>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row>
    <row r="199" spans="1:52">
      <c r="A199" s="8" t="s">
        <v>223</v>
      </c>
      <c r="B199" s="2">
        <f>HYPERLINK("https://www.suredividend.com/sure-analysis-SMA/","SmartStop Self Storage REIT, Inc.")</f>
        <v>0</v>
      </c>
      <c r="C199" s="1" t="s">
        <v>264</v>
      </c>
      <c r="D199" s="3">
        <v>32</v>
      </c>
      <c r="E199" s="3">
        <v>32.51</v>
      </c>
      <c r="F199" s="3">
        <v>28</v>
      </c>
      <c r="G199" s="4">
        <v>1.161071428571429</v>
      </c>
      <c r="H199" s="4">
        <v>0.0492156259612427</v>
      </c>
      <c r="I199" s="4">
        <v>-0.0294269850391462</v>
      </c>
      <c r="J199" s="4">
        <v>0.03</v>
      </c>
      <c r="K199" s="4">
        <v>0.04849375332379657</v>
      </c>
      <c r="L199" s="1" t="s">
        <v>270</v>
      </c>
      <c r="M199" s="5">
        <v>17.47849462365591</v>
      </c>
      <c r="N199" s="3">
        <v>1.86</v>
      </c>
      <c r="O199" s="3">
        <v>1.6</v>
      </c>
      <c r="P199" s="4">
        <v>0.8602150537634409</v>
      </c>
      <c r="Q199" s="1">
        <v>0</v>
      </c>
      <c r="R199" s="4">
        <v>0.02946206823925857</v>
      </c>
      <c r="S199" s="1" t="s">
        <v>287</v>
      </c>
      <c r="T199" s="1" t="s">
        <v>335</v>
      </c>
      <c r="U199" s="1" t="s">
        <v>338</v>
      </c>
      <c r="V199" s="1" t="s">
        <v>340</v>
      </c>
      <c r="W199" s="6" t="s">
        <v>350</v>
      </c>
      <c r="X199" s="7">
        <v>1811.891062</v>
      </c>
      <c r="Y199" s="10">
        <v>46155</v>
      </c>
      <c r="Z199" s="1" t="s">
        <v>358</v>
      </c>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row>
    <row r="200" spans="1:52">
      <c r="A200" s="8" t="s">
        <v>224</v>
      </c>
      <c r="B200" s="2">
        <f>HYPERLINK("https://www.suredividend.com/sure-analysis-NSA/","National Storage Affiliates Trust")</f>
        <v>0</v>
      </c>
      <c r="C200" s="1" t="s">
        <v>263</v>
      </c>
      <c r="D200" s="3">
        <v>45</v>
      </c>
      <c r="E200" s="3">
        <v>44.84</v>
      </c>
      <c r="F200" s="3">
        <v>35</v>
      </c>
      <c r="G200" s="4">
        <v>1.281142857142857</v>
      </c>
      <c r="H200" s="4">
        <v>0.05084745762711863</v>
      </c>
      <c r="I200" s="4">
        <v>-0.04834290874843261</v>
      </c>
      <c r="J200" s="4">
        <v>0.05</v>
      </c>
      <c r="K200" s="4">
        <v>0.04835008985746359</v>
      </c>
      <c r="L200" s="1" t="s">
        <v>270</v>
      </c>
      <c r="M200" s="5">
        <v>20.47488584474886</v>
      </c>
      <c r="N200" s="3">
        <v>2.19</v>
      </c>
      <c r="O200" s="3">
        <v>2.28</v>
      </c>
      <c r="P200" s="4">
        <v>1.041095890410959</v>
      </c>
      <c r="Q200" s="1">
        <v>9</v>
      </c>
      <c r="R200" s="4">
        <v>0.02021836907521157</v>
      </c>
      <c r="S200" s="1" t="s">
        <v>282</v>
      </c>
      <c r="T200" s="1" t="s">
        <v>332</v>
      </c>
      <c r="U200" s="1" t="s">
        <v>338</v>
      </c>
      <c r="V200" s="1" t="s">
        <v>340</v>
      </c>
      <c r="W200" s="6" t="s">
        <v>350</v>
      </c>
      <c r="X200" s="7">
        <v>3462.20998</v>
      </c>
      <c r="Y200" s="10">
        <v>46155</v>
      </c>
      <c r="Z200" s="1" t="s">
        <v>358</v>
      </c>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row>
    <row r="201" spans="1:52">
      <c r="A201" s="8" t="s">
        <v>225</v>
      </c>
      <c r="B201" s="2">
        <f>HYPERLINK("https://www.suredividend.com/sure-analysis-ORANY/","Orange.")</f>
        <v>0</v>
      </c>
      <c r="C201" s="1" t="s">
        <v>263</v>
      </c>
      <c r="D201" s="3">
        <v>22</v>
      </c>
      <c r="E201" s="3">
        <v>19.32</v>
      </c>
      <c r="F201" s="3">
        <v>16</v>
      </c>
      <c r="G201" s="4">
        <v>1.2075</v>
      </c>
      <c r="H201" s="4">
        <v>0.04451345755693582</v>
      </c>
      <c r="I201" s="4">
        <v>-0.03700823758705241</v>
      </c>
      <c r="J201" s="4">
        <v>0.04</v>
      </c>
      <c r="K201" s="4">
        <v>0.04833469511676669</v>
      </c>
      <c r="L201" s="1" t="s">
        <v>270</v>
      </c>
      <c r="M201" s="5">
        <v>15.09375</v>
      </c>
      <c r="N201" s="3">
        <v>1.28</v>
      </c>
      <c r="O201" s="3">
        <v>0.86</v>
      </c>
      <c r="P201" s="4">
        <v>0.671875</v>
      </c>
      <c r="Q201" s="1">
        <v>3</v>
      </c>
      <c r="R201" s="4">
        <v>0.05045837224621441</v>
      </c>
      <c r="S201" s="1" t="s">
        <v>295</v>
      </c>
      <c r="T201" s="1" t="s">
        <v>334</v>
      </c>
      <c r="U201" s="1" t="s">
        <v>336</v>
      </c>
      <c r="V201" s="1" t="s">
        <v>341</v>
      </c>
      <c r="W201" s="6" t="s">
        <v>346</v>
      </c>
      <c r="X201" s="7">
        <v>51345.36245</v>
      </c>
      <c r="Y201" s="10">
        <v>46163</v>
      </c>
      <c r="Z201" s="1" t="s">
        <v>362</v>
      </c>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row>
    <row r="202" spans="1:52">
      <c r="A202" s="8" t="s">
        <v>226</v>
      </c>
      <c r="B202" s="2">
        <f>HYPERLINK("https://www.suredividend.com/sure-analysis-KMMPF/","Killam Apartment REIT")</f>
        <v>0</v>
      </c>
      <c r="C202" s="1" t="s">
        <v>263</v>
      </c>
      <c r="D202" s="3">
        <v>13.23</v>
      </c>
      <c r="E202" s="3">
        <v>13</v>
      </c>
      <c r="F202" s="3">
        <v>11.7</v>
      </c>
      <c r="G202" s="4">
        <v>1.111111111111111</v>
      </c>
      <c r="H202" s="4">
        <v>0.04076923076923077</v>
      </c>
      <c r="I202" s="4">
        <v>-0.0208516376390232</v>
      </c>
      <c r="J202" s="4">
        <v>0.03</v>
      </c>
      <c r="K202" s="4">
        <v>0.04818823371587677</v>
      </c>
      <c r="L202" s="1" t="s">
        <v>270</v>
      </c>
      <c r="M202" s="5">
        <v>14.44444444444444</v>
      </c>
      <c r="N202" s="3">
        <v>0.9</v>
      </c>
      <c r="O202" s="3">
        <v>0.53</v>
      </c>
      <c r="P202" s="4">
        <v>0.5888888888888889</v>
      </c>
      <c r="Q202" s="1">
        <v>1</v>
      </c>
      <c r="R202" s="4">
        <v>0.02851538648883478</v>
      </c>
      <c r="T202" s="1" t="s">
        <v>335</v>
      </c>
      <c r="U202" s="1" t="s">
        <v>338</v>
      </c>
      <c r="V202" s="1" t="s">
        <v>341</v>
      </c>
      <c r="W202" s="6" t="s">
        <v>350</v>
      </c>
      <c r="Y202" s="10">
        <v>46153</v>
      </c>
      <c r="Z202" s="1" t="s">
        <v>358</v>
      </c>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row>
    <row r="203" spans="1:52">
      <c r="A203" s="8" t="s">
        <v>227</v>
      </c>
      <c r="B203" s="2">
        <f>HYPERLINK("https://www.suredividend.com/sure-analysis-APPTF/","Automotive Properties Real Estate Investment Trust")</f>
        <v>0</v>
      </c>
      <c r="C203" s="1" t="s">
        <v>263</v>
      </c>
      <c r="D203" s="3">
        <v>10.27</v>
      </c>
      <c r="E203" s="3">
        <v>8.5</v>
      </c>
      <c r="F203" s="3">
        <v>7.5</v>
      </c>
      <c r="G203" s="4">
        <v>1.133333333333333</v>
      </c>
      <c r="H203" s="4">
        <v>0.06941176470588235</v>
      </c>
      <c r="I203" s="4">
        <v>-0.02472191044052729</v>
      </c>
      <c r="J203" s="4">
        <v>0</v>
      </c>
      <c r="K203" s="4">
        <v>0.04569221764119558</v>
      </c>
      <c r="L203" s="1" t="s">
        <v>270</v>
      </c>
      <c r="M203" s="5">
        <v>11.33333333333333</v>
      </c>
      <c r="N203" s="3">
        <v>0.75</v>
      </c>
      <c r="O203" s="3">
        <v>0.59</v>
      </c>
      <c r="P203" s="4">
        <v>0.7866666666666666</v>
      </c>
      <c r="Q203" s="1">
        <v>1</v>
      </c>
      <c r="R203" s="4">
        <v>0.01955878011628309</v>
      </c>
      <c r="T203" s="1" t="s">
        <v>335</v>
      </c>
      <c r="U203" s="1" t="s">
        <v>338</v>
      </c>
      <c r="V203" s="1" t="s">
        <v>341</v>
      </c>
      <c r="W203" s="6" t="s">
        <v>350</v>
      </c>
      <c r="Y203" s="10">
        <v>46165</v>
      </c>
      <c r="Z203" s="1" t="s">
        <v>358</v>
      </c>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row>
    <row r="204" spans="1:52">
      <c r="A204" s="8" t="s">
        <v>228</v>
      </c>
      <c r="B204" s="2">
        <f>HYPERLINK("https://www.suredividend.com/sure-analysis-GAIN/","Gladstone Investment Corporation")</f>
        <v>0</v>
      </c>
      <c r="C204" s="1" t="s">
        <v>264</v>
      </c>
      <c r="D204" s="3">
        <v>16</v>
      </c>
      <c r="E204" s="3">
        <v>15</v>
      </c>
      <c r="F204" s="3">
        <v>12</v>
      </c>
      <c r="G204" s="4">
        <v>1.25</v>
      </c>
      <c r="H204" s="4">
        <v>0.064</v>
      </c>
      <c r="I204" s="4">
        <v>-0.043647500209963</v>
      </c>
      <c r="J204" s="4">
        <v>0.03</v>
      </c>
      <c r="K204" s="4">
        <v>0.04520743167761432</v>
      </c>
      <c r="L204" s="1" t="s">
        <v>270</v>
      </c>
      <c r="M204" s="5">
        <v>17.24137931034483</v>
      </c>
      <c r="N204" s="3">
        <v>0.87</v>
      </c>
      <c r="O204" s="3">
        <v>0.96</v>
      </c>
      <c r="P204" s="4">
        <v>1.103448275862069</v>
      </c>
      <c r="Q204" s="1">
        <v>0</v>
      </c>
      <c r="R204" s="4">
        <v>0</v>
      </c>
      <c r="S204" s="1" t="s">
        <v>322</v>
      </c>
      <c r="T204" s="1" t="s">
        <v>335</v>
      </c>
      <c r="U204" s="1" t="s">
        <v>339</v>
      </c>
      <c r="V204" s="1" t="s">
        <v>340</v>
      </c>
      <c r="W204" s="6" t="s">
        <v>342</v>
      </c>
      <c r="X204" s="7">
        <v>593.347308</v>
      </c>
      <c r="Y204" s="10">
        <v>46172</v>
      </c>
      <c r="Z204" s="1" t="s">
        <v>361</v>
      </c>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row>
    <row r="205" spans="1:52">
      <c r="A205" s="8" t="s">
        <v>229</v>
      </c>
      <c r="B205" s="2">
        <f>HYPERLINK("https://www.suredividend.com/sure-analysis-BPZZF/","Boston Pizza Royalties Income Fund")</f>
        <v>0</v>
      </c>
      <c r="C205" s="1" t="s">
        <v>263</v>
      </c>
      <c r="D205" s="3">
        <v>17.47</v>
      </c>
      <c r="E205" s="3">
        <v>16.39</v>
      </c>
      <c r="F205" s="3">
        <v>12.32</v>
      </c>
      <c r="G205" s="4">
        <v>1.330357142857143</v>
      </c>
      <c r="H205" s="4">
        <v>0.06589383770591825</v>
      </c>
      <c r="I205" s="4">
        <v>-0.05549045567490973</v>
      </c>
      <c r="J205" s="4">
        <v>0.03</v>
      </c>
      <c r="K205" s="4">
        <v>0.04250567136524697</v>
      </c>
      <c r="L205" s="1" t="s">
        <v>270</v>
      </c>
      <c r="M205" s="5">
        <v>14.63392857142857</v>
      </c>
      <c r="N205" s="3">
        <v>1.12</v>
      </c>
      <c r="O205" s="3">
        <v>1.08</v>
      </c>
      <c r="P205" s="4">
        <v>0.9642857142857143</v>
      </c>
      <c r="Q205" s="1">
        <v>6</v>
      </c>
      <c r="R205" s="4">
        <v>0.02966808427901979</v>
      </c>
      <c r="T205" s="1" t="s">
        <v>335</v>
      </c>
      <c r="U205" s="1" t="s">
        <v>336</v>
      </c>
      <c r="V205" s="1" t="s">
        <v>341</v>
      </c>
      <c r="W205" s="6" t="s">
        <v>345</v>
      </c>
      <c r="Y205" s="10">
        <v>46177</v>
      </c>
      <c r="Z205" s="1" t="s">
        <v>363</v>
      </c>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row>
    <row r="206" spans="1:52">
      <c r="A206" s="8" t="s">
        <v>230</v>
      </c>
      <c r="B206" s="2">
        <f>HYPERLINK("https://www.suredividend.com/sure-analysis-VIV/","Telefônica Brasil S.A.")</f>
        <v>0</v>
      </c>
      <c r="C206" s="1" t="s">
        <v>264</v>
      </c>
      <c r="D206" s="3">
        <v>14.01</v>
      </c>
      <c r="E206" s="3">
        <v>13.44</v>
      </c>
      <c r="F206" s="3">
        <v>13</v>
      </c>
      <c r="G206" s="4">
        <v>1.033846153846154</v>
      </c>
      <c r="H206" s="4">
        <v>0.05208333333333333</v>
      </c>
      <c r="I206" s="4">
        <v>-0.006635085491369153</v>
      </c>
      <c r="J206" s="4">
        <v>0</v>
      </c>
      <c r="K206" s="4">
        <v>0.04187816171970637</v>
      </c>
      <c r="L206" s="1" t="s">
        <v>270</v>
      </c>
      <c r="M206" s="5">
        <v>13.44</v>
      </c>
      <c r="N206" s="3">
        <v>1</v>
      </c>
      <c r="O206" s="3">
        <v>0.7</v>
      </c>
      <c r="P206" s="4">
        <v>0.7</v>
      </c>
      <c r="Q206" s="1">
        <v>0</v>
      </c>
      <c r="R206" s="4">
        <v>0</v>
      </c>
      <c r="T206" s="1" t="s">
        <v>335</v>
      </c>
      <c r="U206" s="1" t="s">
        <v>336</v>
      </c>
      <c r="V206" s="1" t="s">
        <v>341</v>
      </c>
      <c r="W206" s="6" t="s">
        <v>346</v>
      </c>
      <c r="X206" s="7">
        <v>42725.256926</v>
      </c>
      <c r="Y206" s="10">
        <v>46163</v>
      </c>
      <c r="Z206" s="1" t="s">
        <v>358</v>
      </c>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row>
    <row r="207" spans="1:52">
      <c r="A207" s="8" t="s">
        <v>231</v>
      </c>
      <c r="B207" s="2">
        <f>HYPERLINK("https://www.suredividend.com/sure-analysis-LAMR/","Lamar Advertising Co")</f>
        <v>0</v>
      </c>
      <c r="C207" s="1" t="s">
        <v>263</v>
      </c>
      <c r="D207" s="3">
        <v>149</v>
      </c>
      <c r="E207" s="3">
        <v>154.5</v>
      </c>
      <c r="F207" s="3">
        <v>126</v>
      </c>
      <c r="G207" s="4">
        <v>1.226190476190476</v>
      </c>
      <c r="H207" s="4">
        <v>0.04142394822006473</v>
      </c>
      <c r="I207" s="4">
        <v>-0.03996202487164957</v>
      </c>
      <c r="J207" s="4">
        <v>0.04</v>
      </c>
      <c r="K207" s="4">
        <v>0.04035946593382289</v>
      </c>
      <c r="L207" s="1" t="s">
        <v>270</v>
      </c>
      <c r="M207" s="5">
        <v>17.75862068965517</v>
      </c>
      <c r="N207" s="3">
        <v>8.699999999999999</v>
      </c>
      <c r="O207" s="3">
        <v>6.4</v>
      </c>
      <c r="P207" s="4">
        <v>0.7356321839080461</v>
      </c>
      <c r="Q207" s="1">
        <v>6</v>
      </c>
      <c r="R207" s="4">
        <v>0.0300179336109454</v>
      </c>
      <c r="S207" s="1" t="s">
        <v>286</v>
      </c>
      <c r="T207" s="1" t="s">
        <v>332</v>
      </c>
      <c r="U207" s="1" t="s">
        <v>338</v>
      </c>
      <c r="V207" s="1" t="s">
        <v>340</v>
      </c>
      <c r="W207" s="6" t="s">
        <v>350</v>
      </c>
      <c r="X207" s="7">
        <v>15663.712026</v>
      </c>
      <c r="Y207" s="10">
        <v>46177</v>
      </c>
      <c r="Z207" s="1" t="s">
        <v>357</v>
      </c>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row>
    <row r="208" spans="1:52">
      <c r="A208" s="8" t="s">
        <v>232</v>
      </c>
      <c r="B208" s="2">
        <f>HYPERLINK("https://www.suredividend.com/sure-analysis-PAZRF/","Plaza Retail REIT")</f>
        <v>0</v>
      </c>
      <c r="C208" s="1" t="s">
        <v>264</v>
      </c>
      <c r="D208" s="3">
        <v>3.21</v>
      </c>
      <c r="E208" s="3">
        <v>3.3</v>
      </c>
      <c r="F208" s="3">
        <v>3</v>
      </c>
      <c r="G208" s="4">
        <v>1.1</v>
      </c>
      <c r="H208" s="4">
        <v>0.06060606060606061</v>
      </c>
      <c r="I208" s="4">
        <v>-0.01888150427373569</v>
      </c>
      <c r="J208" s="4">
        <v>0</v>
      </c>
      <c r="K208" s="4">
        <v>0.03922410156720635</v>
      </c>
      <c r="L208" s="1" t="s">
        <v>270</v>
      </c>
      <c r="M208" s="5">
        <v>11</v>
      </c>
      <c r="N208" s="3">
        <v>0.3</v>
      </c>
      <c r="O208" s="3">
        <v>0.2</v>
      </c>
      <c r="P208" s="4">
        <v>0.6666666666666667</v>
      </c>
      <c r="Q208" s="1">
        <v>0</v>
      </c>
      <c r="R208" s="4">
        <v>0</v>
      </c>
      <c r="T208" s="1" t="s">
        <v>335</v>
      </c>
      <c r="U208" s="1" t="s">
        <v>338</v>
      </c>
      <c r="V208" s="1" t="s">
        <v>341</v>
      </c>
      <c r="W208" s="6" t="s">
        <v>350</v>
      </c>
      <c r="Y208" s="10">
        <v>46167</v>
      </c>
      <c r="Z208" s="1" t="s">
        <v>358</v>
      </c>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row>
    <row r="209" spans="1:52">
      <c r="A209" s="8" t="s">
        <v>233</v>
      </c>
      <c r="B209" s="2">
        <f>HYPERLINK("https://www.suredividend.com/sure-analysis-DREUF/","Dream Industrial Real Estate Investment Trust")</f>
        <v>0</v>
      </c>
      <c r="C209" s="1" t="s">
        <v>264</v>
      </c>
      <c r="D209" s="3">
        <v>10.09</v>
      </c>
      <c r="E209" s="3">
        <v>9.93</v>
      </c>
      <c r="F209" s="3">
        <v>8.800000000000001</v>
      </c>
      <c r="G209" s="4">
        <v>1.128409090909091</v>
      </c>
      <c r="H209" s="4">
        <v>0.0513595166163142</v>
      </c>
      <c r="I209" s="4">
        <v>-0.02387219296822263</v>
      </c>
      <c r="J209" s="4">
        <v>0.01</v>
      </c>
      <c r="K209" s="4">
        <v>0.03665295430425775</v>
      </c>
      <c r="L209" s="1" t="s">
        <v>270</v>
      </c>
      <c r="M209" s="5">
        <v>12.4125</v>
      </c>
      <c r="N209" s="3">
        <v>0.8</v>
      </c>
      <c r="O209" s="3">
        <v>0.51</v>
      </c>
      <c r="P209" s="4">
        <v>0.6375</v>
      </c>
      <c r="Q209" s="1">
        <v>0</v>
      </c>
      <c r="R209" s="4">
        <v>0.01149727415513624</v>
      </c>
      <c r="T209" s="1" t="s">
        <v>335</v>
      </c>
      <c r="U209" s="1" t="s">
        <v>338</v>
      </c>
      <c r="V209" s="1" t="s">
        <v>341</v>
      </c>
      <c r="W209" s="6" t="s">
        <v>350</v>
      </c>
      <c r="Y209" s="10">
        <v>46149</v>
      </c>
      <c r="Z209" s="1" t="s">
        <v>358</v>
      </c>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row>
    <row r="210" spans="1:52">
      <c r="A210" s="8" t="s">
        <v>234</v>
      </c>
      <c r="B210" s="2">
        <f>HYPERLINK("https://www.suredividend.com/sure-analysis-MSBI/","Midland States Bancorp, Inc.")</f>
        <v>0</v>
      </c>
      <c r="C210" s="1" t="s">
        <v>263</v>
      </c>
      <c r="D210" s="3">
        <v>26</v>
      </c>
      <c r="E210" s="3">
        <v>30.91</v>
      </c>
      <c r="F210" s="3">
        <v>27</v>
      </c>
      <c r="G210" s="4">
        <v>1.144814814814815</v>
      </c>
      <c r="H210" s="4">
        <v>0.04141054674862504</v>
      </c>
      <c r="I210" s="4">
        <v>-0.02668604129678653</v>
      </c>
      <c r="J210" s="4">
        <v>0.02</v>
      </c>
      <c r="K210" s="4">
        <v>0.03483790595838854</v>
      </c>
      <c r="L210" s="1" t="s">
        <v>270</v>
      </c>
      <c r="M210" s="5">
        <v>11.88846153846154</v>
      </c>
      <c r="N210" s="3">
        <v>2.6</v>
      </c>
      <c r="O210" s="3">
        <v>1.28</v>
      </c>
      <c r="P210" s="4">
        <v>0.4923076923076923</v>
      </c>
      <c r="Q210" s="1">
        <v>9</v>
      </c>
      <c r="R210" s="4">
        <v>0.02383625553960966</v>
      </c>
      <c r="S210" s="1" t="s">
        <v>301</v>
      </c>
      <c r="T210" s="1" t="s">
        <v>332</v>
      </c>
      <c r="U210" s="1" t="s">
        <v>336</v>
      </c>
      <c r="V210" s="1" t="s">
        <v>340</v>
      </c>
      <c r="W210" s="6" t="s">
        <v>342</v>
      </c>
      <c r="X210" s="7">
        <v>632.466167</v>
      </c>
      <c r="Y210" s="10">
        <v>46140</v>
      </c>
      <c r="Z210" s="1" t="s">
        <v>362</v>
      </c>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row>
    <row r="211" spans="1:52">
      <c r="A211" s="8" t="s">
        <v>235</v>
      </c>
      <c r="B211" s="2">
        <f>HYPERLINK("https://www.suredividend.com/sure-analysis-CWYUF/","SmartCentres Real Estate Investment Trust")</f>
        <v>0</v>
      </c>
      <c r="C211" s="1" t="s">
        <v>264</v>
      </c>
      <c r="D211" s="3">
        <v>20.85</v>
      </c>
      <c r="E211" s="3">
        <v>21.38</v>
      </c>
      <c r="F211" s="3">
        <v>18.2</v>
      </c>
      <c r="G211" s="4">
        <v>1.174725274725275</v>
      </c>
      <c r="H211" s="4">
        <v>0.0626753975678204</v>
      </c>
      <c r="I211" s="4">
        <v>-0.0316937447019332</v>
      </c>
      <c r="J211" s="4">
        <v>0.005</v>
      </c>
      <c r="K211" s="4">
        <v>0.03472953707826276</v>
      </c>
      <c r="L211" s="1" t="s">
        <v>270</v>
      </c>
      <c r="M211" s="5">
        <v>15.27142857142857</v>
      </c>
      <c r="N211" s="3">
        <v>1.4</v>
      </c>
      <c r="O211" s="3">
        <v>1.34</v>
      </c>
      <c r="P211" s="4">
        <v>0.9571428571428573</v>
      </c>
      <c r="Q211" s="1">
        <v>0</v>
      </c>
      <c r="R211" s="4">
        <v>0</v>
      </c>
      <c r="T211" s="1" t="s">
        <v>335</v>
      </c>
      <c r="U211" s="1" t="s">
        <v>338</v>
      </c>
      <c r="V211" s="1" t="s">
        <v>341</v>
      </c>
      <c r="W211" s="6" t="s">
        <v>350</v>
      </c>
      <c r="Y211" s="10">
        <v>46180</v>
      </c>
      <c r="Z211" s="1" t="s">
        <v>357</v>
      </c>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row>
    <row r="212" spans="1:52">
      <c r="A212" s="8" t="s">
        <v>236</v>
      </c>
      <c r="B212" s="2">
        <f>HYPERLINK("https://www.suredividend.com/sure-analysis-CNQ/","Canadian Natural Resources Ltd.")</f>
        <v>0</v>
      </c>
      <c r="C212" s="1" t="s">
        <v>263</v>
      </c>
      <c r="D212" s="3">
        <v>48</v>
      </c>
      <c r="E212" s="3">
        <v>39.5</v>
      </c>
      <c r="F212" s="3">
        <v>48</v>
      </c>
      <c r="G212" s="4">
        <v>0.8229166666666666</v>
      </c>
      <c r="H212" s="4">
        <v>0.04607594936708861</v>
      </c>
      <c r="I212" s="4">
        <v>0.03974975894363819</v>
      </c>
      <c r="J212" s="4">
        <v>-0.05</v>
      </c>
      <c r="K212" s="4">
        <v>0.0338667476579968</v>
      </c>
      <c r="L212" s="1" t="s">
        <v>270</v>
      </c>
      <c r="M212" s="5">
        <v>9.875</v>
      </c>
      <c r="N212" s="3">
        <v>4</v>
      </c>
      <c r="O212" s="3">
        <v>1.82</v>
      </c>
      <c r="P212" s="4">
        <v>0.455</v>
      </c>
      <c r="Q212" s="1">
        <v>27</v>
      </c>
      <c r="R212" s="4">
        <v>0.01493197894539366</v>
      </c>
      <c r="T212" s="1" t="s">
        <v>332</v>
      </c>
      <c r="U212" s="1" t="s">
        <v>336</v>
      </c>
      <c r="V212" s="1" t="s">
        <v>341</v>
      </c>
      <c r="W212" s="6" t="s">
        <v>351</v>
      </c>
      <c r="X212" s="7">
        <v>82430.48880000001</v>
      </c>
      <c r="Y212" s="10">
        <v>46160</v>
      </c>
      <c r="Z212" s="1" t="s">
        <v>362</v>
      </c>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row>
    <row r="213" spans="1:52">
      <c r="A213" s="8" t="s">
        <v>237</v>
      </c>
      <c r="B213" s="2">
        <f>HYPERLINK("https://www.suredividend.com/sure-analysis-MDV/","Modiv Industrial Inc")</f>
        <v>0</v>
      </c>
      <c r="C213" s="1" t="s">
        <v>263</v>
      </c>
      <c r="D213" s="3">
        <v>18.25</v>
      </c>
      <c r="E213" s="3">
        <v>17.61</v>
      </c>
      <c r="F213" s="3">
        <v>14.6</v>
      </c>
      <c r="G213" s="4">
        <v>1.206164383561644</v>
      </c>
      <c r="H213" s="4">
        <v>0.06814310051107325</v>
      </c>
      <c r="I213" s="4">
        <v>-0.03679506294314394</v>
      </c>
      <c r="J213" s="4">
        <v>0</v>
      </c>
      <c r="K213" s="4">
        <v>0.03186189007552653</v>
      </c>
      <c r="L213" s="1" t="s">
        <v>270</v>
      </c>
      <c r="M213" s="5">
        <v>12.06164383561644</v>
      </c>
      <c r="N213" s="3">
        <v>1.46</v>
      </c>
      <c r="O213" s="3">
        <v>1.2</v>
      </c>
      <c r="P213" s="4">
        <v>0.821917808219178</v>
      </c>
      <c r="Q213" s="1">
        <v>2</v>
      </c>
      <c r="R213" s="4">
        <v>0</v>
      </c>
      <c r="S213" s="1" t="s">
        <v>274</v>
      </c>
      <c r="T213" s="1" t="s">
        <v>335</v>
      </c>
      <c r="U213" s="1" t="s">
        <v>338</v>
      </c>
      <c r="V213" s="1" t="s">
        <v>340</v>
      </c>
      <c r="W213" s="6" t="s">
        <v>350</v>
      </c>
      <c r="X213" s="7">
        <v>181.903065</v>
      </c>
      <c r="Y213" s="10">
        <v>46165</v>
      </c>
      <c r="Z213" s="1" t="s">
        <v>358</v>
      </c>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row>
    <row r="214" spans="1:52">
      <c r="A214" s="8" t="s">
        <v>238</v>
      </c>
      <c r="B214" s="2">
        <f>HYPERLINK("https://www.suredividend.com/sure-analysis-OFLX/","Omega Flex, Inc.")</f>
        <v>0</v>
      </c>
      <c r="C214" s="1" t="s">
        <v>263</v>
      </c>
      <c r="D214" s="3">
        <v>30</v>
      </c>
      <c r="E214" s="3">
        <v>31.395</v>
      </c>
      <c r="F214" s="3">
        <v>23</v>
      </c>
      <c r="G214" s="4">
        <v>1.365</v>
      </c>
      <c r="H214" s="4">
        <v>0.04331899984073898</v>
      </c>
      <c r="I214" s="4">
        <v>-0.06033409370307063</v>
      </c>
      <c r="J214" s="4">
        <v>0.05</v>
      </c>
      <c r="K214" s="4">
        <v>0.02981689510706409</v>
      </c>
      <c r="L214" s="1" t="s">
        <v>270</v>
      </c>
      <c r="M214" s="5">
        <v>25.116</v>
      </c>
      <c r="N214" s="3">
        <v>1.25</v>
      </c>
      <c r="O214" s="3">
        <v>1.36</v>
      </c>
      <c r="P214" s="4">
        <v>1.088</v>
      </c>
      <c r="Q214" s="1">
        <v>7</v>
      </c>
      <c r="R214" s="4">
        <v>0.0100884981090783</v>
      </c>
      <c r="S214" s="1" t="s">
        <v>322</v>
      </c>
      <c r="T214" s="1" t="s">
        <v>332</v>
      </c>
      <c r="U214" s="1" t="s">
        <v>336</v>
      </c>
      <c r="V214" s="1" t="s">
        <v>340</v>
      </c>
      <c r="W214" s="6" t="s">
        <v>352</v>
      </c>
      <c r="X214" s="7">
        <v>317.769257</v>
      </c>
      <c r="Y214" s="10">
        <v>46180</v>
      </c>
      <c r="Z214" s="1" t="s">
        <v>357</v>
      </c>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row>
    <row r="215" spans="1:52">
      <c r="A215" s="8" t="s">
        <v>239</v>
      </c>
      <c r="B215" s="2">
        <f>HYPERLINK("https://www.suredividend.com/sure-analysis-CGIFF/","Chemtrade Logistics Income Fund")</f>
        <v>0</v>
      </c>
      <c r="C215" s="1" t="s">
        <v>263</v>
      </c>
      <c r="D215" s="3">
        <v>12.38</v>
      </c>
      <c r="E215" s="3">
        <v>11.31</v>
      </c>
      <c r="F215" s="3">
        <v>10</v>
      </c>
      <c r="G215" s="4">
        <v>1.131</v>
      </c>
      <c r="H215" s="4">
        <v>0.04686118479221928</v>
      </c>
      <c r="I215" s="4">
        <v>-0.02431982851890702</v>
      </c>
      <c r="J215" s="4">
        <v>0</v>
      </c>
      <c r="K215" s="4">
        <v>0.02958603535516602</v>
      </c>
      <c r="L215" s="1" t="s">
        <v>270</v>
      </c>
      <c r="M215" s="5">
        <v>5.655</v>
      </c>
      <c r="N215" s="3">
        <v>2</v>
      </c>
      <c r="O215" s="3">
        <v>0.53</v>
      </c>
      <c r="P215" s="4">
        <v>0.265</v>
      </c>
      <c r="Q215" s="1">
        <v>2</v>
      </c>
      <c r="R215" s="4">
        <v>0.05110622618577221</v>
      </c>
      <c r="T215" s="1" t="s">
        <v>335</v>
      </c>
      <c r="U215" s="1" t="s">
        <v>336</v>
      </c>
      <c r="V215" s="1" t="s">
        <v>341</v>
      </c>
      <c r="W215" s="6" t="s">
        <v>347</v>
      </c>
      <c r="Y215" s="10">
        <v>46156</v>
      </c>
      <c r="Z215" s="1" t="s">
        <v>358</v>
      </c>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row>
    <row r="216" spans="1:52">
      <c r="A216" s="8" t="s">
        <v>240</v>
      </c>
      <c r="B216" s="2">
        <f>HYPERLINK("https://www.suredividend.com/sure-analysis-PRVFF/","Pro Real Estate Investment Trust")</f>
        <v>0</v>
      </c>
      <c r="C216" s="1" t="s">
        <v>264</v>
      </c>
      <c r="D216" s="3">
        <v>4.95</v>
      </c>
      <c r="E216" s="3">
        <v>4.95</v>
      </c>
      <c r="F216" s="3">
        <v>4.07</v>
      </c>
      <c r="G216" s="4">
        <v>1.216216216216216</v>
      </c>
      <c r="H216" s="4">
        <v>0.06666666666666667</v>
      </c>
      <c r="I216" s="4">
        <v>-0.03839249970617231</v>
      </c>
      <c r="J216" s="4">
        <v>0</v>
      </c>
      <c r="K216" s="4">
        <v>0.02933837941335904</v>
      </c>
      <c r="L216" s="1" t="s">
        <v>270</v>
      </c>
      <c r="M216" s="5">
        <v>13.37837837837838</v>
      </c>
      <c r="N216" s="3">
        <v>0.37</v>
      </c>
      <c r="O216" s="3">
        <v>0.33</v>
      </c>
      <c r="P216" s="4">
        <v>0.891891891891892</v>
      </c>
      <c r="Q216" s="1">
        <v>0</v>
      </c>
      <c r="R216" s="4">
        <v>0</v>
      </c>
      <c r="T216" s="1" t="s">
        <v>335</v>
      </c>
      <c r="U216" s="1" t="s">
        <v>338</v>
      </c>
      <c r="V216" s="1" t="s">
        <v>341</v>
      </c>
      <c r="W216" s="6" t="s">
        <v>350</v>
      </c>
      <c r="Y216" s="10">
        <v>46167</v>
      </c>
      <c r="Z216" s="1" t="s">
        <v>358</v>
      </c>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row>
    <row r="217" spans="1:52">
      <c r="A217" s="8" t="s">
        <v>241</v>
      </c>
      <c r="B217" s="2">
        <f>HYPERLINK("https://www.suredividend.com/sure-analysis-PTRUF/","Petrus Resources Ltd.")</f>
        <v>0</v>
      </c>
      <c r="C217" s="1" t="s">
        <v>264</v>
      </c>
      <c r="D217" s="3">
        <v>1.31</v>
      </c>
      <c r="E217" s="3">
        <v>1.16</v>
      </c>
      <c r="F217" s="3">
        <v>0.87</v>
      </c>
      <c r="G217" s="4">
        <v>1.333333333333333</v>
      </c>
      <c r="H217" s="4">
        <v>0.07758620689655173</v>
      </c>
      <c r="I217" s="4">
        <v>-0.05591248870509802</v>
      </c>
      <c r="J217" s="4">
        <v>0</v>
      </c>
      <c r="K217" s="4">
        <v>0.02617915477537269</v>
      </c>
      <c r="L217" s="1" t="s">
        <v>270</v>
      </c>
      <c r="M217" s="5">
        <v>4</v>
      </c>
      <c r="N217" s="3">
        <v>0.29</v>
      </c>
      <c r="O217" s="3">
        <v>0.09</v>
      </c>
      <c r="P217" s="4">
        <v>0.3103448275862069</v>
      </c>
      <c r="Q217" s="1">
        <v>0</v>
      </c>
      <c r="R217" s="4">
        <v>0</v>
      </c>
      <c r="T217" s="1" t="s">
        <v>335</v>
      </c>
      <c r="U217" s="1" t="s">
        <v>336</v>
      </c>
      <c r="V217" s="1" t="s">
        <v>341</v>
      </c>
      <c r="W217" s="6" t="s">
        <v>351</v>
      </c>
      <c r="Y217" s="10">
        <v>46165</v>
      </c>
      <c r="Z217" s="1" t="s">
        <v>358</v>
      </c>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row>
    <row r="218" spans="1:52">
      <c r="A218" s="8" t="s">
        <v>242</v>
      </c>
      <c r="B218" s="2">
        <f>HYPERLINK("https://www.suredividend.com/sure-analysis-SRRTF/","Slate Grocery REIT")</f>
        <v>0</v>
      </c>
      <c r="C218" s="1" t="s">
        <v>264</v>
      </c>
      <c r="D218" s="3">
        <v>12.16</v>
      </c>
      <c r="E218" s="3">
        <v>12.24</v>
      </c>
      <c r="F218" s="3">
        <v>9</v>
      </c>
      <c r="G218" s="4">
        <v>1.36</v>
      </c>
      <c r="H218" s="4">
        <v>0.07026143790849673</v>
      </c>
      <c r="I218" s="4">
        <v>-0.05964417672875355</v>
      </c>
      <c r="J218" s="4">
        <v>0.01</v>
      </c>
      <c r="K218" s="4">
        <v>0.02587962579075587</v>
      </c>
      <c r="L218" s="1" t="s">
        <v>270</v>
      </c>
      <c r="M218" s="5">
        <v>12.24</v>
      </c>
      <c r="N218" s="3">
        <v>1</v>
      </c>
      <c r="O218" s="3">
        <v>0.86</v>
      </c>
      <c r="P218" s="4">
        <v>0.86</v>
      </c>
      <c r="Q218" s="1">
        <v>0</v>
      </c>
      <c r="R218" s="4">
        <v>0.01136655597111669</v>
      </c>
      <c r="T218" s="1" t="s">
        <v>335</v>
      </c>
      <c r="U218" s="1" t="s">
        <v>338</v>
      </c>
      <c r="V218" s="1" t="s">
        <v>341</v>
      </c>
      <c r="W218" s="6" t="s">
        <v>350</v>
      </c>
      <c r="Y218" s="10">
        <v>46167</v>
      </c>
      <c r="Z218" s="1" t="s">
        <v>358</v>
      </c>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row>
    <row r="219" spans="1:52">
      <c r="A219" s="8" t="s">
        <v>243</v>
      </c>
      <c r="B219" s="2">
        <f>HYPERLINK("https://www.suredividend.com/sure-analysis-FCXXF/","First Capital Real Estate Investment Trust")</f>
        <v>0</v>
      </c>
      <c r="C219" s="1" t="s">
        <v>263</v>
      </c>
      <c r="D219" s="3">
        <v>17.12</v>
      </c>
      <c r="E219" s="3">
        <v>16.21</v>
      </c>
      <c r="F219" s="3">
        <v>13.3</v>
      </c>
      <c r="G219" s="4">
        <v>1.218796992481203</v>
      </c>
      <c r="H219" s="4">
        <v>0.04133251079580506</v>
      </c>
      <c r="I219" s="4">
        <v>-0.03880008168676352</v>
      </c>
      <c r="J219" s="4">
        <v>0.02</v>
      </c>
      <c r="K219" s="4">
        <v>0.02389511719502058</v>
      </c>
      <c r="L219" s="1" t="s">
        <v>270</v>
      </c>
      <c r="M219" s="5">
        <v>17.06315789473684</v>
      </c>
      <c r="N219" s="3">
        <v>0.95</v>
      </c>
      <c r="O219" s="3">
        <v>0.67</v>
      </c>
      <c r="P219" s="4">
        <v>0.7052631578947369</v>
      </c>
      <c r="Q219" s="1">
        <v>2</v>
      </c>
      <c r="R219" s="4">
        <v>0.02007330744996905</v>
      </c>
      <c r="T219" s="1" t="s">
        <v>335</v>
      </c>
      <c r="U219" s="1" t="s">
        <v>338</v>
      </c>
      <c r="V219" s="1" t="s">
        <v>341</v>
      </c>
      <c r="W219" s="6" t="s">
        <v>350</v>
      </c>
      <c r="Y219" s="10">
        <v>46153</v>
      </c>
      <c r="Z219" s="1" t="s">
        <v>358</v>
      </c>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row>
    <row r="220" spans="1:52">
      <c r="A220" s="8" t="s">
        <v>244</v>
      </c>
      <c r="B220" s="2">
        <f>HYPERLINK("https://www.suredividend.com/sure-analysis-APLE/","Apple Hospitality REIT, Inc.")</f>
        <v>0</v>
      </c>
      <c r="C220" s="1" t="s">
        <v>264</v>
      </c>
      <c r="D220" s="3">
        <v>13.93</v>
      </c>
      <c r="E220" s="3">
        <v>16.935</v>
      </c>
      <c r="F220" s="3">
        <v>13.24</v>
      </c>
      <c r="G220" s="4">
        <v>1.279078549848943</v>
      </c>
      <c r="H220" s="4">
        <v>0.0566873339238264</v>
      </c>
      <c r="I220" s="4">
        <v>-0.04803593062118716</v>
      </c>
      <c r="J220" s="4">
        <v>0.01</v>
      </c>
      <c r="K220" s="4">
        <v>0.02181286000864668</v>
      </c>
      <c r="L220" s="1" t="s">
        <v>270</v>
      </c>
      <c r="M220" s="5">
        <v>11.14144736842105</v>
      </c>
      <c r="N220" s="3">
        <v>1.52</v>
      </c>
      <c r="O220" s="3">
        <v>0.96</v>
      </c>
      <c r="P220" s="4">
        <v>0.631578947368421</v>
      </c>
      <c r="Q220" s="1">
        <v>0</v>
      </c>
      <c r="R220" s="4">
        <v>0.01020619660890776</v>
      </c>
      <c r="S220" s="1" t="s">
        <v>287</v>
      </c>
      <c r="T220" s="1" t="s">
        <v>335</v>
      </c>
      <c r="U220" s="1" t="s">
        <v>338</v>
      </c>
      <c r="V220" s="1" t="s">
        <v>340</v>
      </c>
      <c r="W220" s="6" t="s">
        <v>350</v>
      </c>
      <c r="X220" s="7">
        <v>3996.623689</v>
      </c>
      <c r="Y220" s="10">
        <v>46154</v>
      </c>
      <c r="Z220" s="1" t="s">
        <v>358</v>
      </c>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row>
    <row r="221" spans="1:52">
      <c r="A221" s="8" t="s">
        <v>245</v>
      </c>
      <c r="B221" s="2">
        <f>HYPERLINK("https://www.suredividend.com/sure-analysis-SRRRF/","Source Rock Royalties Ltd.")</f>
        <v>0</v>
      </c>
      <c r="C221" s="1" t="s">
        <v>263</v>
      </c>
      <c r="D221" s="3">
        <v>0.72</v>
      </c>
      <c r="E221" s="3">
        <v>0.72</v>
      </c>
      <c r="F221" s="3">
        <v>0.5</v>
      </c>
      <c r="G221" s="4">
        <v>1.44</v>
      </c>
      <c r="H221" s="4">
        <v>0.08333333333333333</v>
      </c>
      <c r="I221" s="4">
        <v>-0.07033281522514379</v>
      </c>
      <c r="J221" s="4">
        <v>0</v>
      </c>
      <c r="K221" s="4">
        <v>0.02129568760013512</v>
      </c>
      <c r="L221" s="1" t="s">
        <v>270</v>
      </c>
      <c r="M221" s="5">
        <v>24</v>
      </c>
      <c r="N221" s="3">
        <v>0.03</v>
      </c>
      <c r="O221" s="3">
        <v>0.06</v>
      </c>
      <c r="P221" s="4">
        <v>2</v>
      </c>
      <c r="Q221" s="1">
        <v>4</v>
      </c>
      <c r="R221" s="4">
        <v>0</v>
      </c>
      <c r="T221" s="1" t="s">
        <v>335</v>
      </c>
      <c r="U221" s="1" t="s">
        <v>336</v>
      </c>
      <c r="V221" s="1" t="s">
        <v>341</v>
      </c>
      <c r="W221" s="6" t="s">
        <v>351</v>
      </c>
      <c r="Y221" s="10">
        <v>46133</v>
      </c>
      <c r="Z221" s="1" t="s">
        <v>358</v>
      </c>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row>
    <row r="222" spans="1:52">
      <c r="A222" s="8" t="s">
        <v>246</v>
      </c>
      <c r="B222" s="2">
        <f>HYPERLINK("https://www.suredividend.com/sure-analysis-PMREF/","Primaris Real Estate Investment Trust")</f>
        <v>0</v>
      </c>
      <c r="C222" s="1" t="s">
        <v>263</v>
      </c>
      <c r="D222" s="3">
        <v>14</v>
      </c>
      <c r="E222" s="3">
        <v>14.75</v>
      </c>
      <c r="F222" s="3">
        <v>12.33</v>
      </c>
      <c r="G222" s="4">
        <v>1.196269261962693</v>
      </c>
      <c r="H222" s="4">
        <v>0.04406779661016949</v>
      </c>
      <c r="I222" s="4">
        <v>-0.03520685016441361</v>
      </c>
      <c r="J222" s="4">
        <v>0.01</v>
      </c>
      <c r="K222" s="4">
        <v>0.02016555752718374</v>
      </c>
      <c r="L222" s="1" t="s">
        <v>270</v>
      </c>
      <c r="M222" s="5">
        <v>10.76642335766423</v>
      </c>
      <c r="N222" s="3">
        <v>1.37</v>
      </c>
      <c r="O222" s="3">
        <v>0.65</v>
      </c>
      <c r="P222" s="4">
        <v>0.4744525547445255</v>
      </c>
      <c r="Q222" s="1">
        <v>4</v>
      </c>
      <c r="R222" s="4">
        <v>0.009064926884643665</v>
      </c>
      <c r="T222" s="1" t="s">
        <v>335</v>
      </c>
      <c r="U222" s="1" t="s">
        <v>336</v>
      </c>
      <c r="V222" s="1" t="s">
        <v>341</v>
      </c>
      <c r="W222" s="6" t="s">
        <v>350</v>
      </c>
      <c r="Y222" s="10">
        <v>46144</v>
      </c>
      <c r="Z222" s="1" t="s">
        <v>358</v>
      </c>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row>
    <row r="223" spans="1:52">
      <c r="A223" s="8" t="s">
        <v>247</v>
      </c>
      <c r="B223" s="2">
        <f>HYPERLINK("https://www.suredividend.com/sure-analysis-NWHUF/","NorthWest Healthcare Properties Real Estate Investment Trust")</f>
        <v>0</v>
      </c>
      <c r="C223" s="1" t="s">
        <v>264</v>
      </c>
      <c r="D223" s="3">
        <v>3.86</v>
      </c>
      <c r="E223" s="3">
        <v>3.9</v>
      </c>
      <c r="F223" s="3">
        <v>3</v>
      </c>
      <c r="G223" s="4">
        <v>1.3</v>
      </c>
      <c r="H223" s="4">
        <v>0.06666666666666667</v>
      </c>
      <c r="I223" s="4">
        <v>-0.05111991994525078</v>
      </c>
      <c r="J223" s="4">
        <v>0</v>
      </c>
      <c r="K223" s="4">
        <v>0.01971960649546922</v>
      </c>
      <c r="L223" s="1" t="s">
        <v>270</v>
      </c>
      <c r="M223" s="5">
        <v>13</v>
      </c>
      <c r="N223" s="3">
        <v>0.3</v>
      </c>
      <c r="O223" s="3">
        <v>0.26</v>
      </c>
      <c r="P223" s="4">
        <v>0.8666666666666667</v>
      </c>
      <c r="Q223" s="1">
        <v>0</v>
      </c>
      <c r="R223" s="4">
        <v>0</v>
      </c>
      <c r="T223" s="1" t="s">
        <v>335</v>
      </c>
      <c r="U223" s="1" t="s">
        <v>338</v>
      </c>
      <c r="V223" s="1" t="s">
        <v>341</v>
      </c>
      <c r="W223" s="6" t="s">
        <v>350</v>
      </c>
      <c r="Y223" s="10">
        <v>46168</v>
      </c>
      <c r="Z223" s="1" t="s">
        <v>358</v>
      </c>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row>
    <row r="224" spans="1:52">
      <c r="A224" s="8" t="s">
        <v>248</v>
      </c>
      <c r="B224" s="2">
        <f>HYPERLINK("https://www.suredividend.com/sure-analysis-ZPTAF/","Surge Energy Inc.")</f>
        <v>0</v>
      </c>
      <c r="C224" s="1" t="s">
        <v>263</v>
      </c>
      <c r="D224" s="3">
        <v>7.19</v>
      </c>
      <c r="E224" s="3">
        <v>6.48</v>
      </c>
      <c r="F224" s="3">
        <v>5</v>
      </c>
      <c r="G224" s="4">
        <v>1.296</v>
      </c>
      <c r="H224" s="4">
        <v>0.05864197530864197</v>
      </c>
      <c r="I224" s="4">
        <v>-0.0505349132860814</v>
      </c>
      <c r="J224" s="4">
        <v>0</v>
      </c>
      <c r="K224" s="4">
        <v>0.01776729294381041</v>
      </c>
      <c r="L224" s="1" t="s">
        <v>270</v>
      </c>
      <c r="M224" s="5">
        <v>3.24</v>
      </c>
      <c r="N224" s="3">
        <v>2</v>
      </c>
      <c r="O224" s="3">
        <v>0.38</v>
      </c>
      <c r="P224" s="4">
        <v>0.19</v>
      </c>
      <c r="Q224" s="1">
        <v>3</v>
      </c>
      <c r="R224" s="4">
        <v>0.02975477857041309</v>
      </c>
      <c r="T224" s="1" t="s">
        <v>335</v>
      </c>
      <c r="U224" s="1" t="s">
        <v>336</v>
      </c>
      <c r="V224" s="1" t="s">
        <v>341</v>
      </c>
      <c r="W224" s="6" t="s">
        <v>351</v>
      </c>
      <c r="Y224" s="10">
        <v>46155</v>
      </c>
      <c r="Z224" s="1" t="s">
        <v>358</v>
      </c>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row>
    <row r="225" spans="1:52">
      <c r="A225" s="8" t="s">
        <v>249</v>
      </c>
      <c r="B225" s="2">
        <f>HYPERLINK("https://www.suredividend.com/sure-analysis-PSTL/","Postal Realty Trust Inc")</f>
        <v>0</v>
      </c>
      <c r="C225" s="1" t="s">
        <v>263</v>
      </c>
      <c r="D225" s="3">
        <v>23</v>
      </c>
      <c r="E225" s="3">
        <v>24.49</v>
      </c>
      <c r="F225" s="3">
        <v>18.33</v>
      </c>
      <c r="G225" s="4">
        <v>1.336061102018549</v>
      </c>
      <c r="H225" s="4">
        <v>0.04001633319722336</v>
      </c>
      <c r="I225" s="4">
        <v>-0.05629830310096895</v>
      </c>
      <c r="J225" s="4">
        <v>0.03</v>
      </c>
      <c r="K225" s="4">
        <v>0.01681808535315565</v>
      </c>
      <c r="L225" s="1" t="s">
        <v>270</v>
      </c>
      <c r="M225" s="5">
        <v>17.36879432624113</v>
      </c>
      <c r="N225" s="3">
        <v>1.41</v>
      </c>
      <c r="O225" s="3">
        <v>0.98</v>
      </c>
      <c r="P225" s="4">
        <v>0.6950354609929078</v>
      </c>
      <c r="Q225" s="1">
        <v>6</v>
      </c>
      <c r="R225" s="4">
        <v>0.03070825685139122</v>
      </c>
      <c r="S225" s="1" t="s">
        <v>301</v>
      </c>
      <c r="T225" s="1" t="s">
        <v>332</v>
      </c>
      <c r="U225" s="1" t="s">
        <v>338</v>
      </c>
      <c r="V225" s="1" t="s">
        <v>340</v>
      </c>
      <c r="W225" s="6" t="s">
        <v>350</v>
      </c>
      <c r="X225" s="7">
        <v>672.364704</v>
      </c>
      <c r="Y225" s="10">
        <v>46149</v>
      </c>
      <c r="Z225" s="1" t="s">
        <v>358</v>
      </c>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row>
    <row r="226" spans="1:52">
      <c r="A226" s="8" t="s">
        <v>250</v>
      </c>
      <c r="B226" s="2">
        <f>HYPERLINK("https://www.suredividend.com/sure-analysis-GEL/","Genesis Energy L.P.")</f>
        <v>0</v>
      </c>
      <c r="C226" s="1" t="s">
        <v>263</v>
      </c>
      <c r="D226" s="3">
        <v>16</v>
      </c>
      <c r="E226" s="3">
        <v>13.83</v>
      </c>
      <c r="F226" s="3">
        <v>10</v>
      </c>
      <c r="G226" s="4">
        <v>1.383</v>
      </c>
      <c r="H226" s="4">
        <v>0.05206073752711497</v>
      </c>
      <c r="I226" s="4">
        <v>-0.06279291304302459</v>
      </c>
      <c r="J226" s="4">
        <v>0.02</v>
      </c>
      <c r="K226" s="4">
        <v>0.01310043083743162</v>
      </c>
      <c r="L226" s="1" t="s">
        <v>270</v>
      </c>
      <c r="M226" s="5">
        <v>10.24444444444444</v>
      </c>
      <c r="N226" s="3">
        <v>1.35</v>
      </c>
      <c r="O226" s="3">
        <v>0.72</v>
      </c>
      <c r="P226" s="4">
        <v>0.5333333333333333</v>
      </c>
      <c r="Q226" s="1">
        <v>3</v>
      </c>
      <c r="R226" s="4">
        <v>0.01087212085035083</v>
      </c>
      <c r="S226" s="1" t="s">
        <v>297</v>
      </c>
      <c r="T226" s="1" t="s">
        <v>332</v>
      </c>
      <c r="U226" s="1" t="s">
        <v>337</v>
      </c>
      <c r="V226" s="1" t="s">
        <v>340</v>
      </c>
      <c r="W226" s="6" t="s">
        <v>351</v>
      </c>
      <c r="X226" s="7">
        <v>1393.72323</v>
      </c>
      <c r="Y226" s="10">
        <v>46160</v>
      </c>
      <c r="Z226" s="1" t="s">
        <v>362</v>
      </c>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row>
    <row r="227" spans="1:52">
      <c r="A227" s="8" t="s">
        <v>251</v>
      </c>
      <c r="B227" s="2">
        <f>HYPERLINK("https://www.suredividend.com/sure-analysis-MLLGF/","Mullen Group Ltd.")</f>
        <v>0</v>
      </c>
      <c r="C227" s="1" t="s">
        <v>263</v>
      </c>
      <c r="D227" s="3">
        <v>14.52</v>
      </c>
      <c r="E227" s="3">
        <v>15.37</v>
      </c>
      <c r="F227" s="3">
        <v>11.16</v>
      </c>
      <c r="G227" s="4">
        <v>1.377240143369175</v>
      </c>
      <c r="H227" s="4">
        <v>0.04033832140533507</v>
      </c>
      <c r="I227" s="4">
        <v>-0.06201030869800794</v>
      </c>
      <c r="J227" s="4">
        <v>0.03</v>
      </c>
      <c r="K227" s="4">
        <v>0.01220982020706596</v>
      </c>
      <c r="L227" s="1" t="s">
        <v>270</v>
      </c>
      <c r="M227" s="5">
        <v>16.5268817204301</v>
      </c>
      <c r="N227" s="3">
        <v>0.93</v>
      </c>
      <c r="O227" s="3">
        <v>0.62</v>
      </c>
      <c r="P227" s="4">
        <v>0.6666666666666666</v>
      </c>
      <c r="Q227" s="1">
        <v>4</v>
      </c>
      <c r="R227" s="4">
        <v>0.03035803310185115</v>
      </c>
      <c r="T227" s="1" t="s">
        <v>335</v>
      </c>
      <c r="U227" s="1" t="s">
        <v>336</v>
      </c>
      <c r="V227" s="1" t="s">
        <v>341</v>
      </c>
      <c r="W227" s="6" t="s">
        <v>352</v>
      </c>
      <c r="Y227" s="10">
        <v>46140</v>
      </c>
      <c r="Z227" s="1" t="s">
        <v>358</v>
      </c>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row>
    <row r="228" spans="1:52">
      <c r="A228" s="8" t="s">
        <v>252</v>
      </c>
      <c r="B228" s="2">
        <f>HYPERLINK("https://www.suredividend.com/sure-analysis-RPKIF/","Richards Packaging Income Fund")</f>
        <v>0</v>
      </c>
      <c r="C228" s="1" t="s">
        <v>264</v>
      </c>
      <c r="D228" s="3">
        <v>20.1</v>
      </c>
      <c r="E228" s="3">
        <v>20.21</v>
      </c>
      <c r="F228" s="3">
        <v>14</v>
      </c>
      <c r="G228" s="4">
        <v>1.443571428571429</v>
      </c>
      <c r="H228" s="4">
        <v>0.0475012370113805</v>
      </c>
      <c r="I228" s="4">
        <v>-0.07079327468082197</v>
      </c>
      <c r="J228" s="4">
        <v>0.03</v>
      </c>
      <c r="K228" s="4">
        <v>0.01217991392089024</v>
      </c>
      <c r="L228" s="1" t="s">
        <v>270</v>
      </c>
      <c r="M228" s="5">
        <v>10.105</v>
      </c>
      <c r="N228" s="3">
        <v>2</v>
      </c>
      <c r="O228" s="3">
        <v>0.96</v>
      </c>
      <c r="P228" s="4">
        <v>0.48</v>
      </c>
      <c r="Q228" s="1">
        <v>0</v>
      </c>
      <c r="R228" s="4">
        <v>0.02946206823925857</v>
      </c>
      <c r="T228" s="1" t="s">
        <v>335</v>
      </c>
      <c r="U228" s="1" t="s">
        <v>336</v>
      </c>
      <c r="V228" s="1" t="s">
        <v>341</v>
      </c>
      <c r="W228" s="6" t="s">
        <v>345</v>
      </c>
      <c r="Y228" s="10">
        <v>46163</v>
      </c>
      <c r="Z228" s="1" t="s">
        <v>358</v>
      </c>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row>
    <row r="229" spans="1:52">
      <c r="A229" s="8" t="s">
        <v>253</v>
      </c>
      <c r="B229" s="2">
        <f>HYPERLINK("https://www.suredividend.com/sure-analysis-HY/","Hyster Yale Inc")</f>
        <v>0</v>
      </c>
      <c r="C229" s="1" t="s">
        <v>263</v>
      </c>
      <c r="D229" s="3">
        <v>35</v>
      </c>
      <c r="E229" s="3">
        <v>36.1</v>
      </c>
      <c r="F229" s="3">
        <v>19</v>
      </c>
      <c r="G229" s="4">
        <v>1.9</v>
      </c>
      <c r="H229" s="4">
        <v>0.04044321329639889</v>
      </c>
      <c r="I229" s="4">
        <v>-0.1204727899862416</v>
      </c>
      <c r="J229" s="4">
        <v>0.1</v>
      </c>
      <c r="K229" s="4">
        <v>0.01182374876667436</v>
      </c>
      <c r="L229" s="1" t="s">
        <v>270</v>
      </c>
      <c r="M229" s="5">
        <v>28.4251968503937</v>
      </c>
      <c r="N229" s="3">
        <v>1.27</v>
      </c>
      <c r="O229" s="3">
        <v>1.46</v>
      </c>
      <c r="P229" s="4">
        <v>1.149606299212598</v>
      </c>
      <c r="Q229" s="1">
        <v>13</v>
      </c>
      <c r="R229" s="4">
        <v>0.01720586065186347</v>
      </c>
      <c r="S229" s="1" t="s">
        <v>285</v>
      </c>
      <c r="T229" s="1" t="s">
        <v>332</v>
      </c>
      <c r="U229" s="1" t="s">
        <v>336</v>
      </c>
      <c r="V229" s="1" t="s">
        <v>340</v>
      </c>
      <c r="W229" s="6" t="s">
        <v>352</v>
      </c>
      <c r="X229" s="7">
        <v>652.317992</v>
      </c>
      <c r="Y229" s="10">
        <v>46121</v>
      </c>
      <c r="Z229" s="1" t="s">
        <v>365</v>
      </c>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row>
    <row r="230" spans="1:52">
      <c r="A230" s="8" t="s">
        <v>254</v>
      </c>
      <c r="B230" s="2">
        <f>HYPERLINK("https://www.suredividend.com/sure-analysis-MTR/","Mesa Royalty Trust")</f>
        <v>0</v>
      </c>
      <c r="C230" s="1" t="s">
        <v>264</v>
      </c>
      <c r="D230" s="3">
        <v>3.81</v>
      </c>
      <c r="E230" s="3">
        <v>3.15</v>
      </c>
      <c r="F230" s="3">
        <v>2.1</v>
      </c>
      <c r="G230" s="4">
        <v>1.5</v>
      </c>
      <c r="H230" s="4">
        <v>0.09523809523809523</v>
      </c>
      <c r="I230" s="4">
        <v>-0.07789208851827223</v>
      </c>
      <c r="J230" s="4">
        <v>-0.02</v>
      </c>
      <c r="K230" s="4">
        <v>0.009773407944174473</v>
      </c>
      <c r="L230" s="1" t="s">
        <v>270</v>
      </c>
      <c r="M230" s="5">
        <v>10.5</v>
      </c>
      <c r="N230" s="3">
        <v>0.3</v>
      </c>
      <c r="O230" s="3">
        <v>0.3</v>
      </c>
      <c r="P230" s="4">
        <v>1</v>
      </c>
      <c r="Q230" s="1">
        <v>0</v>
      </c>
      <c r="R230" s="4">
        <v>-0.0208516376390232</v>
      </c>
      <c r="T230" s="1" t="s">
        <v>335</v>
      </c>
      <c r="U230" s="1" t="s">
        <v>337</v>
      </c>
      <c r="V230" s="1" t="s">
        <v>340</v>
      </c>
      <c r="W230" s="6" t="s">
        <v>351</v>
      </c>
      <c r="Y230" s="10">
        <v>46165</v>
      </c>
      <c r="Z230" s="1" t="s">
        <v>358</v>
      </c>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row>
    <row r="231" spans="1:52">
      <c r="A231" s="8" t="s">
        <v>255</v>
      </c>
      <c r="B231" s="2">
        <f>HYPERLINK("https://www.suredividend.com/sure-analysis-ARR/","ARMOUR Residential REIT Inc")</f>
        <v>0</v>
      </c>
      <c r="C231" s="1" t="s">
        <v>264</v>
      </c>
      <c r="D231" s="3">
        <v>17.45</v>
      </c>
      <c r="E231" s="3">
        <v>17.13</v>
      </c>
      <c r="F231" s="3">
        <v>15</v>
      </c>
      <c r="G231" s="4">
        <v>1.142</v>
      </c>
      <c r="H231" s="4">
        <v>0.1681260945709282</v>
      </c>
      <c r="I231" s="4">
        <v>-0.02620670655038648</v>
      </c>
      <c r="J231" s="4">
        <v>-0.115</v>
      </c>
      <c r="K231" s="4">
        <v>0.008013772343093528</v>
      </c>
      <c r="L231" s="1" t="s">
        <v>270</v>
      </c>
      <c r="M231" s="5">
        <v>5.71</v>
      </c>
      <c r="N231" s="3">
        <v>3</v>
      </c>
      <c r="O231" s="3">
        <v>2.88</v>
      </c>
      <c r="P231" s="4">
        <v>0.96</v>
      </c>
      <c r="Q231" s="1">
        <v>0</v>
      </c>
      <c r="R231" s="4">
        <v>-0.1294494367038759</v>
      </c>
      <c r="S231" s="1" t="s">
        <v>282</v>
      </c>
      <c r="T231" s="1" t="s">
        <v>335</v>
      </c>
      <c r="U231" s="1" t="s">
        <v>338</v>
      </c>
      <c r="V231" s="1" t="s">
        <v>340</v>
      </c>
      <c r="W231" s="6" t="s">
        <v>350</v>
      </c>
      <c r="X231" s="7">
        <v>2126.150428</v>
      </c>
      <c r="Y231" s="10">
        <v>46137</v>
      </c>
      <c r="Z231" s="1" t="s">
        <v>357</v>
      </c>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row>
    <row r="232" spans="1:52">
      <c r="A232" s="8" t="s">
        <v>256</v>
      </c>
      <c r="B232" s="2">
        <f>HYPERLINK("https://www.suredividend.com/sure-analysis-DEDVF/","Decisive Dividend Corp.")</f>
        <v>0</v>
      </c>
      <c r="C232" s="1" t="s">
        <v>263</v>
      </c>
      <c r="D232" s="3">
        <v>6.49</v>
      </c>
      <c r="E232" s="3">
        <v>6.63</v>
      </c>
      <c r="F232" s="3">
        <v>4.4</v>
      </c>
      <c r="G232" s="4">
        <v>1.506818181818182</v>
      </c>
      <c r="H232" s="4">
        <v>0.05882352941176471</v>
      </c>
      <c r="I232" s="4">
        <v>-0.07872808981295887</v>
      </c>
      <c r="J232" s="4">
        <v>0.01</v>
      </c>
      <c r="K232" s="4">
        <v>0.0001219658534348245</v>
      </c>
      <c r="L232" s="1" t="s">
        <v>270</v>
      </c>
      <c r="M232" s="5">
        <v>16.575</v>
      </c>
      <c r="N232" s="3">
        <v>0.4</v>
      </c>
      <c r="O232" s="3">
        <v>0.39</v>
      </c>
      <c r="P232" s="4">
        <v>0.975</v>
      </c>
      <c r="Q232" s="1">
        <v>4</v>
      </c>
      <c r="R232" s="4">
        <v>0.01005227214699711</v>
      </c>
      <c r="T232" s="1" t="s">
        <v>335</v>
      </c>
      <c r="U232" s="1" t="s">
        <v>336</v>
      </c>
      <c r="V232" s="1" t="s">
        <v>341</v>
      </c>
      <c r="W232" s="6" t="s">
        <v>352</v>
      </c>
      <c r="Y232" s="10">
        <v>46160</v>
      </c>
      <c r="Z232" s="1" t="s">
        <v>358</v>
      </c>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row>
    <row r="233" spans="1:52">
      <c r="A233" s="8" t="s">
        <v>257</v>
      </c>
      <c r="B233" s="2">
        <f>HYPERLINK("https://www.suredividend.com/sure-analysis-SBR/","Sabine Royalty Trust")</f>
        <v>0</v>
      </c>
      <c r="C233" s="1" t="s">
        <v>264</v>
      </c>
      <c r="D233" s="3">
        <v>79</v>
      </c>
      <c r="E233" s="3">
        <v>73.98999999999999</v>
      </c>
      <c r="F233" s="3">
        <v>41</v>
      </c>
      <c r="G233" s="4">
        <v>1.804634146341463</v>
      </c>
      <c r="H233" s="4">
        <v>0.05581835383159887</v>
      </c>
      <c r="I233" s="4">
        <v>-0.1113675548145392</v>
      </c>
      <c r="J233" s="4">
        <v>0.03</v>
      </c>
      <c r="K233" s="4">
        <v>-0.0106837220686965</v>
      </c>
      <c r="L233" s="1" t="s">
        <v>270</v>
      </c>
      <c r="M233" s="5">
        <v>17.91525423728813</v>
      </c>
      <c r="N233" s="3">
        <v>4.13</v>
      </c>
      <c r="O233" s="3">
        <v>4.13</v>
      </c>
      <c r="P233" s="4">
        <v>1</v>
      </c>
      <c r="Q233" s="1">
        <v>0</v>
      </c>
      <c r="R233" s="4">
        <v>0.03009455694791874</v>
      </c>
      <c r="S233" s="1" t="s">
        <v>282</v>
      </c>
      <c r="T233" s="1" t="s">
        <v>335</v>
      </c>
      <c r="U233" s="1" t="s">
        <v>337</v>
      </c>
      <c r="V233" s="1" t="s">
        <v>340</v>
      </c>
      <c r="W233" s="6" t="s">
        <v>351</v>
      </c>
      <c r="Y233" s="10">
        <v>46162</v>
      </c>
      <c r="Z233" s="1" t="s">
        <v>362</v>
      </c>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row>
    <row r="234" spans="1:52">
      <c r="A234" s="8" t="s">
        <v>258</v>
      </c>
      <c r="B234" s="2">
        <f>HYPERLINK("https://www.suredividend.com/sure-analysis-CVX/","Chevron Corp.")</f>
        <v>0</v>
      </c>
      <c r="C234" s="1" t="s">
        <v>263</v>
      </c>
      <c r="D234" s="3">
        <v>185</v>
      </c>
      <c r="E234" s="3">
        <v>171.74</v>
      </c>
      <c r="F234" s="3">
        <v>147</v>
      </c>
      <c r="G234" s="4">
        <v>1.168299319727891</v>
      </c>
      <c r="H234" s="4">
        <v>0.04145801793408641</v>
      </c>
      <c r="I234" s="4">
        <v>-0.0306308924654729</v>
      </c>
      <c r="J234" s="4">
        <v>-0.03</v>
      </c>
      <c r="K234" s="4">
        <v>-0.01115552337737435</v>
      </c>
      <c r="L234" s="1" t="s">
        <v>270</v>
      </c>
      <c r="M234" s="5">
        <v>16.35619047619048</v>
      </c>
      <c r="N234" s="3">
        <v>10.5</v>
      </c>
      <c r="O234" s="3">
        <v>7.12</v>
      </c>
      <c r="P234" s="4">
        <v>0.6780952380952381</v>
      </c>
      <c r="Q234" s="1">
        <v>39</v>
      </c>
      <c r="R234" s="4">
        <v>0.005005811967033758</v>
      </c>
      <c r="S234" s="1" t="s">
        <v>307</v>
      </c>
      <c r="T234" s="1" t="s">
        <v>332</v>
      </c>
      <c r="U234" s="1" t="s">
        <v>336</v>
      </c>
      <c r="V234" s="1" t="s">
        <v>340</v>
      </c>
      <c r="W234" s="6" t="s">
        <v>351</v>
      </c>
      <c r="X234" s="7">
        <v>343032.79336</v>
      </c>
      <c r="Y234" s="10">
        <v>46154</v>
      </c>
      <c r="Z234" s="1" t="s">
        <v>362</v>
      </c>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row>
    <row r="235" spans="1:52">
      <c r="A235" s="8" t="s">
        <v>259</v>
      </c>
      <c r="B235" s="2">
        <f>HYPERLINK("https://www.suredividend.com/sure-analysis-HRUFF/","H&amp;R Real Estate Investment Trust")</f>
        <v>0</v>
      </c>
      <c r="C235" s="1" t="s">
        <v>264</v>
      </c>
      <c r="D235" s="3">
        <v>7.51</v>
      </c>
      <c r="E235" s="3">
        <v>7.74</v>
      </c>
      <c r="F235" s="3">
        <v>4.9</v>
      </c>
      <c r="G235" s="4">
        <v>1.579591836734694</v>
      </c>
      <c r="H235" s="4">
        <v>0.05684754521963824</v>
      </c>
      <c r="I235" s="4">
        <v>-0.08737781078130835</v>
      </c>
      <c r="J235" s="4">
        <v>0</v>
      </c>
      <c r="K235" s="4">
        <v>-0.01711325657906926</v>
      </c>
      <c r="L235" s="1" t="s">
        <v>270</v>
      </c>
      <c r="M235" s="5">
        <v>11.05714285714286</v>
      </c>
      <c r="N235" s="3">
        <v>0.7</v>
      </c>
      <c r="O235" s="3">
        <v>0.44</v>
      </c>
      <c r="P235" s="4">
        <v>0.6285714285714287</v>
      </c>
      <c r="Q235" s="1">
        <v>0</v>
      </c>
      <c r="R235" s="4">
        <v>0</v>
      </c>
      <c r="T235" s="1" t="s">
        <v>335</v>
      </c>
      <c r="U235" s="1" t="s">
        <v>338</v>
      </c>
      <c r="V235" s="1" t="s">
        <v>341</v>
      </c>
      <c r="W235" s="6" t="s">
        <v>350</v>
      </c>
      <c r="Y235" s="10">
        <v>46160</v>
      </c>
      <c r="Z235" s="1" t="s">
        <v>358</v>
      </c>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row>
    <row r="236" spans="1:52">
      <c r="A236" s="8" t="s">
        <v>260</v>
      </c>
      <c r="B236" s="2">
        <f>HYPERLINK("https://www.suredividend.com/sure-analysis-WCPRF/","Whitecap Resources Inc")</f>
        <v>0</v>
      </c>
      <c r="C236" s="1" t="s">
        <v>264</v>
      </c>
      <c r="D236" s="3">
        <v>11.7</v>
      </c>
      <c r="E236" s="3">
        <v>10.67</v>
      </c>
      <c r="F236" s="3">
        <v>8</v>
      </c>
      <c r="G236" s="4">
        <v>1.33375</v>
      </c>
      <c r="H236" s="4">
        <v>0.05060918462980319</v>
      </c>
      <c r="I236" s="4">
        <v>-0.05597148311356315</v>
      </c>
      <c r="J236" s="4">
        <v>-0.03</v>
      </c>
      <c r="K236" s="4">
        <v>-0.01970777410684998</v>
      </c>
      <c r="L236" s="1" t="s">
        <v>270</v>
      </c>
      <c r="M236" s="5">
        <v>10.67</v>
      </c>
      <c r="N236" s="3">
        <v>1</v>
      </c>
      <c r="O236" s="3">
        <v>0.54</v>
      </c>
      <c r="P236" s="4">
        <v>0.54</v>
      </c>
      <c r="Q236" s="1">
        <v>0</v>
      </c>
      <c r="R236" s="4">
        <v>0.01087212085035083</v>
      </c>
      <c r="T236" s="1" t="s">
        <v>335</v>
      </c>
      <c r="U236" s="1" t="s">
        <v>336</v>
      </c>
      <c r="V236" s="1" t="s">
        <v>340</v>
      </c>
      <c r="W236" s="6" t="s">
        <v>351</v>
      </c>
      <c r="Y236" s="10">
        <v>46144</v>
      </c>
      <c r="Z236" s="1" t="s">
        <v>358</v>
      </c>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row>
    <row r="237" spans="1:52">
      <c r="A237" s="8" t="s">
        <v>261</v>
      </c>
      <c r="B237" s="2">
        <f>HYPERLINK("https://www.suredividend.com/sure-analysis-BMA/","Banco Macro S.A.")</f>
        <v>0</v>
      </c>
      <c r="C237" s="1" t="s">
        <v>264</v>
      </c>
      <c r="D237" s="3">
        <v>92</v>
      </c>
      <c r="E237" s="3">
        <v>90.34</v>
      </c>
      <c r="F237" s="3">
        <v>39</v>
      </c>
      <c r="G237" s="4">
        <v>2.316410256410256</v>
      </c>
      <c r="H237" s="4">
        <v>0.04427717511622759</v>
      </c>
      <c r="I237" s="4">
        <v>-0.1546493242440166</v>
      </c>
      <c r="J237" s="4">
        <v>0.05</v>
      </c>
      <c r="K237" s="4">
        <v>-0.04528068906159755</v>
      </c>
      <c r="L237" s="1" t="s">
        <v>270</v>
      </c>
      <c r="M237" s="5">
        <v>11.52295918367347</v>
      </c>
      <c r="N237" s="3">
        <v>7.84</v>
      </c>
      <c r="O237" s="3">
        <v>4</v>
      </c>
      <c r="P237" s="4">
        <v>0.5102040816326531</v>
      </c>
      <c r="Q237" s="1">
        <v>0</v>
      </c>
      <c r="R237" s="4">
        <v>0.03012896281839894</v>
      </c>
      <c r="S237" s="1" t="s">
        <v>331</v>
      </c>
      <c r="T237" s="1" t="s">
        <v>335</v>
      </c>
      <c r="U237" s="1" t="s">
        <v>336</v>
      </c>
      <c r="V237" s="1" t="s">
        <v>341</v>
      </c>
      <c r="W237" s="6" t="s">
        <v>342</v>
      </c>
      <c r="X237" s="7">
        <v>11552.503958</v>
      </c>
      <c r="Y237" s="10">
        <v>46174</v>
      </c>
      <c r="Z237" s="1" t="s">
        <v>358</v>
      </c>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row>
    <row r="238" spans="1:5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row>
    <row r="239" spans="1:5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row>
    <row r="240" spans="1:5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row>
    <row r="241" spans="1:5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row>
    <row r="242" spans="1:5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row>
    <row r="243" spans="1:5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row>
    <row r="244" spans="1:5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row>
    <row r="245" spans="1:5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row>
    <row r="246" spans="1:5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row>
    <row r="247" spans="1:5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row>
    <row r="248" spans="1:5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row>
    <row r="249" spans="1:5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row>
    <row r="250" spans="1:5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row>
    <row r="251" spans="1:5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row>
    <row r="252" spans="1:5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row>
    <row r="253" spans="1:5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row>
    <row r="254" spans="1:5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row>
    <row r="255" spans="1:5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row>
    <row r="256" spans="1:5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row>
    <row r="257" spans="1:5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row>
    <row r="258" spans="1:5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row>
    <row r="259" spans="1:5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row>
    <row r="260" spans="1:5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row>
    <row r="261" spans="1:5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row>
    <row r="262" spans="1:5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row>
    <row r="263" spans="1:5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row>
    <row r="264" spans="1:5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row>
    <row r="265" spans="1:5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row>
    <row r="266" spans="1:5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row>
    <row r="267" spans="1:5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row>
    <row r="268" spans="1:5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row>
    <row r="269" spans="1:5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row>
    <row r="270" spans="1:5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row>
    <row r="271" spans="1:5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row>
    <row r="272" spans="1:5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row>
    <row r="273" spans="1:5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row>
    <row r="274" spans="1:5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row>
    <row r="275" spans="1:5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row>
    <row r="276" spans="1:5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row>
    <row r="277" spans="1:5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row>
    <row r="278" spans="1:5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row>
    <row r="279" spans="1:5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row>
    <row r="280" spans="1:5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row>
    <row r="281" spans="1:5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row>
    <row r="282" spans="1:5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row>
    <row r="283" spans="1:5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row>
    <row r="284" spans="1:5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row>
    <row r="285" spans="1:5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row>
    <row r="286" spans="1:5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row>
    <row r="287" spans="1:5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row>
    <row r="288" spans="1:5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row>
    <row r="289" spans="1:5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row>
    <row r="290" spans="1:5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row>
    <row r="291" spans="1:5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row>
    <row r="292" spans="1:5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row>
    <row r="293" spans="1:5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row>
    <row r="294" spans="1:5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row>
    <row r="295" spans="1:5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row>
    <row r="296" spans="1:5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row>
    <row r="297" spans="1:5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row>
    <row r="298" spans="1:5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row>
    <row r="299" spans="1:5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row>
    <row r="300" spans="1:5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row>
    <row r="301" spans="1:5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row>
    <row r="302" spans="1:5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row>
    <row r="303" spans="1:5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row>
    <row r="304" spans="1:5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row>
    <row r="305" spans="1:5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row>
    <row r="306" spans="1:5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row>
    <row r="307" spans="1:5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row>
    <row r="308" spans="1:5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row>
    <row r="309" spans="1:5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row>
    <row r="310" spans="1:5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row>
    <row r="311" spans="1:5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row>
    <row r="312" spans="1:5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row>
    <row r="313" spans="1:5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row>
    <row r="314" spans="1:5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row>
    <row r="315" spans="1:5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row>
    <row r="316" spans="1:5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row>
    <row r="317" spans="1:5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row>
    <row r="318" spans="1:5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row>
    <row r="319" spans="1:5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row>
    <row r="320" spans="1:5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row>
    <row r="321" spans="1:5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row>
    <row r="322" spans="1:5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row>
    <row r="323" spans="1:5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row>
    <row r="324" spans="1:5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row>
    <row r="325" spans="1:5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row>
    <row r="326" spans="1:5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row>
    <row r="327" spans="1:5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row>
    <row r="328" spans="1:5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row>
    <row r="329" spans="1:5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row>
    <row r="330" spans="1:5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row>
    <row r="331" spans="1:5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row>
    <row r="332" spans="1:5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row>
    <row r="333" spans="1:5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row>
    <row r="334" spans="1:5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row>
    <row r="335" spans="1:5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row>
    <row r="336" spans="1:5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row>
    <row r="337" spans="1:5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row>
    <row r="338" spans="1:5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row>
    <row r="339" spans="1:5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row>
    <row r="340" spans="1:5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row>
    <row r="341" spans="1:5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row>
    <row r="342" spans="1:5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row>
    <row r="343" spans="1:5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row>
    <row r="344" spans="1:5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row>
    <row r="345" spans="1:5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row>
    <row r="346" spans="1:5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row>
    <row r="347" spans="1:5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row>
    <row r="348" spans="1:5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row>
    <row r="349" spans="1:5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row>
    <row r="350" spans="1:5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row>
    <row r="351" spans="1:5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row>
    <row r="352" spans="1:5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row>
    <row r="353" spans="1:5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row>
    <row r="354" spans="1:5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row>
    <row r="355" spans="1:5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row>
    <row r="356" spans="1:5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row>
    <row r="357" spans="1:5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row>
    <row r="358" spans="1:5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row>
    <row r="359" spans="1:5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row>
    <row r="360" spans="1:5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row>
    <row r="361" spans="1:5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row>
    <row r="362" spans="1:5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row>
    <row r="363" spans="1:5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row>
    <row r="364" spans="1:5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row>
    <row r="365" spans="1:5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row>
    <row r="366" spans="1:5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row>
    <row r="367" spans="1:5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row>
    <row r="368" spans="1:5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row>
    <row r="369" spans="1:5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row>
    <row r="370" spans="1:5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row>
    <row r="371" spans="1:5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row>
    <row r="372" spans="1:5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row>
    <row r="373" spans="1:5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row>
    <row r="374" spans="1:5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row>
    <row r="375" spans="1:5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row>
    <row r="376" spans="1:5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row>
    <row r="377" spans="1:5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row>
    <row r="378" spans="1:5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row>
    <row r="379" spans="1:5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row>
    <row r="380" spans="1:5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row>
    <row r="381" spans="1:5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row>
    <row r="382" spans="1:5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row>
    <row r="383" spans="1:5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row>
    <row r="384" spans="1:5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row>
    <row r="385" spans="1:5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row>
    <row r="386" spans="1:5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row>
    <row r="387" spans="1:5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row>
    <row r="388" spans="1:5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row>
    <row r="389" spans="1:5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row>
    <row r="390" spans="1:5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row>
    <row r="391" spans="1:5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row>
    <row r="392" spans="1:5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row>
    <row r="393" spans="1:5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row>
    <row r="394" spans="1:5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row>
    <row r="395" spans="1:5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row>
    <row r="396" spans="1:5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row>
    <row r="397" spans="1:5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row>
    <row r="398" spans="1:5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row>
    <row r="399" spans="1:5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row>
    <row r="400" spans="1:5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row>
    <row r="401" spans="1:5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row>
    <row r="402" spans="1:5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row>
    <row r="403" spans="1:5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row>
    <row r="404" spans="1:5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row>
    <row r="405" spans="1:5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row>
    <row r="406" spans="1:5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row>
    <row r="407" spans="1:5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row>
    <row r="408" spans="1:5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row>
    <row r="409" spans="1:5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row>
    <row r="410" spans="1:5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row>
    <row r="411" spans="1:5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row>
    <row r="412" spans="1:5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row>
    <row r="413" spans="1:5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row>
    <row r="414" spans="1:5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row>
    <row r="415" spans="1:5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row>
    <row r="416" spans="1:5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row>
    <row r="417" spans="1:5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row>
    <row r="418" spans="1:5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row>
    <row r="419" spans="1:5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row>
    <row r="420" spans="1:5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row>
    <row r="421" spans="1:5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row>
    <row r="422" spans="1:5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row>
    <row r="423" spans="1:5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row>
    <row r="424" spans="1:5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row>
    <row r="425" spans="1:5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row>
    <row r="426" spans="1:5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row>
    <row r="427" spans="1:5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row>
    <row r="428" spans="1:5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row>
    <row r="429" spans="1:5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row>
    <row r="430" spans="1:5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row>
    <row r="431" spans="1:5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row>
    <row r="432" spans="1:5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row>
    <row r="433" spans="1:5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row>
    <row r="434" spans="1:5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row>
    <row r="435" spans="1:5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row>
    <row r="436" spans="1:5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row>
    <row r="437" spans="1:5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row>
    <row r="438" spans="1:5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row>
    <row r="439" spans="1:5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row>
    <row r="440" spans="1:5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row>
    <row r="441" spans="1:5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row>
    <row r="442" spans="1:5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row>
    <row r="443" spans="1:5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row>
    <row r="444" spans="1:5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row>
    <row r="445" spans="1:5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row>
    <row r="446" spans="1:5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row>
    <row r="447" spans="1:5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row>
    <row r="448" spans="1:5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row>
    <row r="449" spans="1:5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row>
    <row r="450" spans="1:5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row>
    <row r="451" spans="1:5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row>
    <row r="452" spans="1:5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row>
    <row r="453" spans="1:5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row>
    <row r="454" spans="1:5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row>
    <row r="455" spans="1:5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row>
    <row r="456" spans="1:5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row>
    <row r="457" spans="1:5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row>
    <row r="458" spans="1:5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row>
    <row r="459" spans="1:5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row>
    <row r="460" spans="1:5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row>
    <row r="461" spans="1:5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row>
    <row r="462" spans="1:5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row>
    <row r="463" spans="1:5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row>
    <row r="464" spans="1:5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row>
    <row r="465" spans="1:5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row>
    <row r="466" spans="1:5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row>
    <row r="467" spans="1:5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row>
    <row r="468" spans="1:5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row>
    <row r="469" spans="1:5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row>
    <row r="470" spans="1:5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row>
    <row r="471" spans="1:5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row>
    <row r="472" spans="1:5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row>
    <row r="473" spans="1:5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row>
    <row r="474" spans="1:5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row>
    <row r="475" spans="1:5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row>
    <row r="476" spans="1:5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row>
    <row r="477" spans="1:5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row>
    <row r="478" spans="1:5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row>
    <row r="479" spans="1:5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row>
    <row r="480" spans="1:5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row>
    <row r="481" spans="1:5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row>
    <row r="482" spans="1:5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row>
    <row r="483" spans="1:5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row>
    <row r="484" spans="1:5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row>
    <row r="485" spans="1:5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row>
    <row r="486" spans="1:5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row>
    <row r="487" spans="1:5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row>
    <row r="488" spans="1:5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row>
    <row r="489" spans="1:5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row>
    <row r="490" spans="1:5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row>
    <row r="491" spans="1:5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row>
    <row r="492" spans="1:5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row>
    <row r="493" spans="1:5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row>
    <row r="494" spans="1:5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row>
    <row r="495" spans="1:5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row>
    <row r="496" spans="1:5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row>
    <row r="497" spans="1:5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row>
    <row r="498" spans="1:5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row>
    <row r="499" spans="1:5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row>
    <row r="500" spans="1:5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row>
    <row r="501" spans="1:5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row>
    <row r="502" spans="1:5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row>
    <row r="503" spans="1:5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row>
    <row r="504" spans="1:5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row>
    <row r="505" spans="1:5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row>
    <row r="506" spans="1:5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row>
    <row r="507" spans="1:5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row>
    <row r="508" spans="1:5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row>
    <row r="509" spans="1:5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row>
    <row r="510" spans="1:5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row>
    <row r="511" spans="1:5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row>
    <row r="512" spans="1:5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row>
    <row r="513" spans="1:5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row>
    <row r="514" spans="1:5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row>
    <row r="515" spans="1:5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row>
    <row r="516" spans="1:5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row>
    <row r="517" spans="1:5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row>
    <row r="518" spans="1:5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row>
    <row r="519" spans="1:5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row>
    <row r="520" spans="1:5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row>
    <row r="521" spans="1:5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row>
    <row r="522" spans="1:5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row>
    <row r="523" spans="1:5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row>
    <row r="524" spans="1:5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row>
    <row r="525" spans="1:5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row>
    <row r="526" spans="1:5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row>
    <row r="527" spans="1:5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row>
    <row r="528" spans="1:5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row>
    <row r="529" spans="1:5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row>
    <row r="530" spans="1:5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row>
    <row r="531" spans="1:5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row>
    <row r="532" spans="1:5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row>
    <row r="533" spans="1:5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row>
    <row r="534" spans="1:5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row>
    <row r="535" spans="1:5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row>
    <row r="536" spans="1:5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row>
    <row r="537" spans="1:5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row>
    <row r="538" spans="1:5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row>
    <row r="539" spans="1:5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row>
    <row r="540" spans="1:5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row>
    <row r="541" spans="1:5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row>
    <row r="542" spans="1:5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row>
    <row r="543" spans="1:5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row>
    <row r="544" spans="1:5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row>
    <row r="545" spans="1:5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row>
    <row r="546" spans="1:5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row>
    <row r="547" spans="1:5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row>
    <row r="548" spans="1:5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row>
    <row r="549" spans="1:5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row>
    <row r="550" spans="1:5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row>
    <row r="551" spans="1:5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row>
    <row r="552" spans="1:5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row>
    <row r="553" spans="1:5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row>
    <row r="554" spans="1:5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row>
    <row r="555" spans="1:5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row>
    <row r="556" spans="1:5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row>
    <row r="557" spans="1:5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row>
    <row r="558" spans="1:5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row>
    <row r="559" spans="1:5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row>
    <row r="560" spans="1:5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row>
    <row r="561" spans="1:5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row>
    <row r="562" spans="1:5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row>
    <row r="563" spans="1:5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row>
    <row r="564" spans="1:5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row>
    <row r="565" spans="1:5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row>
    <row r="566" spans="1:5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row>
    <row r="567" spans="1:5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row>
    <row r="568" spans="1:5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row>
    <row r="569" spans="1:5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row>
    <row r="570" spans="1:5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row>
    <row r="571" spans="1:5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row>
    <row r="572" spans="1:5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row>
    <row r="573" spans="1:5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row>
    <row r="574" spans="1:5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row>
    <row r="575" spans="1:5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row>
    <row r="576" spans="1:5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row>
    <row r="577" spans="1:5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row>
    <row r="578" spans="1:5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row>
    <row r="579" spans="1:5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row>
    <row r="580" spans="1:5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row>
    <row r="581" spans="1:5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row>
    <row r="582" spans="1:5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row>
    <row r="583" spans="1:5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row>
    <row r="584" spans="1:5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row>
    <row r="585" spans="1:5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row>
    <row r="586" spans="1:5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row>
    <row r="587" spans="1:5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row>
    <row r="588" spans="1:5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row>
    <row r="589" spans="1:5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row>
    <row r="590" spans="1:5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row>
    <row r="591" spans="1:5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row>
    <row r="592" spans="1:5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row>
    <row r="593" spans="1:5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row>
    <row r="594" spans="1:5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row>
    <row r="595" spans="1:5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row>
    <row r="596" spans="1:5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row>
    <row r="597" spans="1:5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row>
    <row r="598" spans="1:5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row>
    <row r="599" spans="1:5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row>
    <row r="600" spans="1:5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row>
    <row r="601" spans="1:5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row>
    <row r="602" spans="1:5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row>
    <row r="603" spans="1:5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row>
    <row r="604" spans="1:5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row>
    <row r="605" spans="1:5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row>
    <row r="606" spans="1:5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row>
    <row r="607" spans="1:5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row>
    <row r="608" spans="1:5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row>
    <row r="609" spans="1:5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row>
    <row r="610" spans="1:5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row>
    <row r="611" spans="1:5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row>
    <row r="612" spans="1:5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row>
    <row r="613" spans="1:5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row>
    <row r="614" spans="1:5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row>
    <row r="615" spans="1:5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row>
    <row r="616" spans="1:5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row>
    <row r="617" spans="1:5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row>
    <row r="618" spans="1:5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row>
    <row r="619" spans="1:5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row>
    <row r="620" spans="1:5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row>
    <row r="621" spans="1:5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row>
    <row r="622" spans="1:5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row>
    <row r="623" spans="1:5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row>
    <row r="624" spans="1:5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row>
    <row r="625" spans="1:5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row>
    <row r="626" spans="1:5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row>
    <row r="627" spans="1:5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row>
    <row r="628" spans="1:5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row>
    <row r="629" spans="1:5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row>
    <row r="630" spans="1:5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row>
    <row r="631" spans="1:5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row>
    <row r="632" spans="1:5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row>
    <row r="633" spans="1:5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row>
    <row r="634" spans="1:5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row>
    <row r="635" spans="1:5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row>
    <row r="636" spans="1:5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row>
    <row r="637" spans="1:5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row>
    <row r="638" spans="1:5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row>
    <row r="639" spans="1:5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row>
    <row r="640" spans="1:5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row>
    <row r="641" spans="1:5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row>
    <row r="642" spans="1:5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row>
    <row r="643" spans="1:5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row>
    <row r="644" spans="1:5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row>
    <row r="645" spans="1:5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row>
    <row r="646" spans="1:5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row>
    <row r="647" spans="1:5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row>
    <row r="648" spans="1:5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row>
    <row r="649" spans="1:5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row>
    <row r="650" spans="1:5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row>
    <row r="651" spans="1:5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row>
    <row r="652" spans="1:5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row>
    <row r="653" spans="1:5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row>
    <row r="654" spans="1:5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row>
    <row r="655" spans="1:5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row>
    <row r="656" spans="1:5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row>
    <row r="657" spans="1:5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row>
    <row r="658" spans="1:5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row>
    <row r="659" spans="1:5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row>
    <row r="660" spans="1:5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row>
    <row r="661" spans="1:5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row>
    <row r="662" spans="1:5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row>
    <row r="663" spans="1:5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row>
    <row r="664" spans="1:5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row>
    <row r="665" spans="1:5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row>
    <row r="666" spans="1:5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row>
    <row r="667" spans="1:5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row>
    <row r="668" spans="1:5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row>
    <row r="669" spans="1:5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row>
    <row r="670" spans="1:5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row>
    <row r="671" spans="1:5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row>
    <row r="672" spans="1:5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row>
    <row r="673" spans="1:5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row>
    <row r="674" spans="1:5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row>
    <row r="675" spans="1:5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row>
    <row r="676" spans="1:5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row>
    <row r="677" spans="1:5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row>
    <row r="678" spans="1:5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row>
    <row r="679" spans="1:5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row>
    <row r="680" spans="1:5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row>
    <row r="681" spans="1:5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row>
    <row r="682" spans="1:5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row>
    <row r="683" spans="1:5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row>
    <row r="684" spans="1:5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row>
    <row r="685" spans="1:5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row>
    <row r="686" spans="1:5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row>
    <row r="687" spans="1:5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row>
    <row r="688" spans="1:5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row>
    <row r="689" spans="1:5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row>
    <row r="690" spans="1:5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row>
    <row r="691" spans="1:5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row>
    <row r="692" spans="1:5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row>
    <row r="693" spans="1:5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row>
    <row r="694" spans="1:5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row>
    <row r="695" spans="1:5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row>
    <row r="696" spans="1:5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row>
    <row r="697" spans="1:5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row>
    <row r="698" spans="1:5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row>
    <row r="699" spans="1:5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row>
    <row r="700" spans="1:5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row>
    <row r="701" spans="1:5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row>
    <row r="702" spans="1:5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row>
    <row r="703" spans="1:5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row>
    <row r="704" spans="1:5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row>
    <row r="705" spans="1:5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row>
    <row r="706" spans="1:5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row>
    <row r="707" spans="1:5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row>
    <row r="708" spans="1:5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row>
    <row r="709" spans="1:5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row>
    <row r="710" spans="1:5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row>
    <row r="711" spans="1:5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row>
    <row r="712" spans="1:5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row>
    <row r="713" spans="1:5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row>
    <row r="714" spans="1:5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row>
    <row r="715" spans="1:5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row>
    <row r="716" spans="1:5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row>
    <row r="717" spans="1:5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row>
    <row r="718" spans="1:5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row>
    <row r="719" spans="1:5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row>
    <row r="720" spans="1:5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row>
    <row r="721" spans="1:5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row>
    <row r="722" spans="1:5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row>
    <row r="723" spans="1:5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row>
    <row r="724" spans="1:5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row>
    <row r="725" spans="1:5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row>
    <row r="726" spans="1:5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row>
    <row r="727" spans="1:5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row>
    <row r="728" spans="1:5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row>
    <row r="729" spans="1:5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row>
    <row r="730" spans="1:5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row>
    <row r="731" spans="1:5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row>
    <row r="732" spans="1:5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row>
    <row r="733" spans="1:5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row>
    <row r="734" spans="1:5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row>
    <row r="735" spans="1:5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row>
    <row r="736" spans="1:5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row>
    <row r="737" spans="1:5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row>
    <row r="738" spans="1:5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row>
    <row r="739" spans="1:5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row>
    <row r="740" spans="1:5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row>
    <row r="741" spans="1:5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row>
    <row r="742" spans="1:5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row>
    <row r="743" spans="1:5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row>
    <row r="744" spans="1:5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row>
    <row r="745" spans="1:5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row>
    <row r="746" spans="1:5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row>
    <row r="747" spans="1:5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row>
    <row r="748" spans="1:5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row>
    <row r="749" spans="1:5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row>
    <row r="750" spans="1:5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row>
    <row r="751" spans="1:5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row>
    <row r="752" spans="1:5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row>
    <row r="753" spans="1:5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row>
    <row r="754" spans="1:5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row>
    <row r="755" spans="1:5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row>
    <row r="756" spans="1:5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row>
    <row r="757" spans="1:5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row>
    <row r="758" spans="1:5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row>
    <row r="759" spans="1:5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row>
    <row r="760" spans="1:5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row>
    <row r="761" spans="1:5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row>
    <row r="762" spans="1:5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row>
    <row r="763" spans="1:5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row>
    <row r="764" spans="1:5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row>
    <row r="765" spans="1:5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row>
    <row r="766" spans="1:5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row>
    <row r="767" spans="1:5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row>
    <row r="768" spans="1:5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row>
    <row r="769" spans="1:5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row>
    <row r="770" spans="1:5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row>
    <row r="771" spans="1:5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row>
    <row r="772" spans="1:5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row>
    <row r="773" spans="1:5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row>
    <row r="774" spans="1:5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row>
    <row r="775" spans="1:5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row>
    <row r="776" spans="1:5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row>
    <row r="777" spans="1:5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row>
    <row r="778" spans="1:5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row>
    <row r="779" spans="1:5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row>
    <row r="780" spans="1:5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row>
    <row r="781" spans="1:5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row>
    <row r="782" spans="1:5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row>
    <row r="783" spans="1:5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row>
    <row r="784" spans="1:5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row>
    <row r="785" spans="1:5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row>
    <row r="786" spans="1:5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row>
    <row r="787" spans="1:5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row>
    <row r="788" spans="1:5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row>
    <row r="789" spans="1:5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row>
    <row r="790" spans="1:5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row>
    <row r="791" spans="1:5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row>
    <row r="792" spans="1:5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row>
    <row r="793" spans="1:5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row>
    <row r="794" spans="1:5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row>
    <row r="795" spans="1:5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row>
    <row r="796" spans="1:5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row>
    <row r="797" spans="1:5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row>
    <row r="798" spans="1:5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row>
    <row r="799" spans="1:5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row>
    <row r="800" spans="1:5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row>
    <row r="801" spans="1:5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row>
    <row r="802" spans="1:5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row>
    <row r="803" spans="1:5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row>
    <row r="804" spans="1:5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row>
    <row r="805" spans="1:5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row>
    <row r="806" spans="1:5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row>
    <row r="807" spans="1:5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row>
    <row r="808" spans="1:5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row>
    <row r="809" spans="1:5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row>
    <row r="810" spans="1:5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row>
    <row r="811" spans="1:5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row>
    <row r="812" spans="1:5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row>
    <row r="813" spans="1:5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row>
    <row r="814" spans="1:5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row>
    <row r="815" spans="1:5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row>
    <row r="816" spans="1:5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row>
    <row r="817" spans="1:5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row>
    <row r="818" spans="1:5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row>
    <row r="819" spans="1:5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row>
    <row r="820" spans="1:5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row>
    <row r="821" spans="1:5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row>
    <row r="822" spans="1:5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row>
    <row r="823" spans="1:5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row>
    <row r="824" spans="1:5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row>
    <row r="825" spans="1:5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row>
    <row r="826" spans="1:5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row>
    <row r="827" spans="1:5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row>
    <row r="828" spans="1:5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row>
    <row r="829" spans="1:5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row>
    <row r="830" spans="1:5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row>
    <row r="831" spans="1:5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row>
    <row r="832" spans="1:5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row>
    <row r="833" spans="1:5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row>
    <row r="834" spans="1:5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row>
    <row r="835" spans="1:5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row>
    <row r="836" spans="1:5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row>
    <row r="837" spans="1:5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row>
    <row r="838" spans="1:5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row>
    <row r="839" spans="1:5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row>
    <row r="840" spans="1:5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row>
    <row r="841" spans="1:5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row>
    <row r="842" spans="1:5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row>
    <row r="843" spans="1:5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row>
    <row r="844" spans="1:5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row>
    <row r="845" spans="1:5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row>
    <row r="846" spans="1:5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row>
    <row r="847" spans="1:5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row>
    <row r="848" spans="1:5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row>
    <row r="849" spans="1:5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row>
    <row r="850" spans="1:5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row>
    <row r="851" spans="1:5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row>
    <row r="852" spans="1:5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row>
    <row r="853" spans="1:5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row>
    <row r="854" spans="1:5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row>
    <row r="855" spans="1:5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row>
    <row r="856" spans="1:5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row>
    <row r="857" spans="1:5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row>
    <row r="858" spans="1:5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row>
    <row r="859" spans="1:5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row>
    <row r="860" spans="1:5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row>
    <row r="861" spans="1:5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row>
    <row r="862" spans="1:5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row>
    <row r="863" spans="1:5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row>
    <row r="864" spans="1:5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row>
    <row r="865" spans="1:5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row>
    <row r="866" spans="1:5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row>
    <row r="867" spans="1:5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row>
    <row r="868" spans="1:5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row>
    <row r="869" spans="1:5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row>
    <row r="870" spans="1:5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row>
    <row r="871" spans="1:5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row>
    <row r="872" spans="1:5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row>
    <row r="873" spans="1:5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row>
    <row r="874" spans="1:5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row>
    <row r="875" spans="1:5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row>
    <row r="876" spans="1:5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row>
    <row r="877" spans="1:5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row>
    <row r="878" spans="1:5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row>
    <row r="879" spans="1:5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row>
    <row r="880" spans="1:5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row>
    <row r="881" spans="1:5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row>
    <row r="882" spans="1:5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row>
    <row r="883" spans="1:5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row>
    <row r="884" spans="1:5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row>
    <row r="885" spans="1:5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row>
    <row r="886" spans="1:5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row>
    <row r="887" spans="1:5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row>
    <row r="888" spans="1:5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row>
    <row r="889" spans="1:5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row>
    <row r="890" spans="1:5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row>
    <row r="891" spans="1:5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row>
    <row r="892" spans="1:5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row>
    <row r="893" spans="1:5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row>
    <row r="894" spans="1:5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row>
    <row r="895" spans="1:5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row>
    <row r="896" spans="1:5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row>
    <row r="897" spans="1:5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row>
    <row r="898" spans="1:5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row>
    <row r="899" spans="1:5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row>
    <row r="900" spans="1:5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row>
    <row r="901" spans="1:5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row>
    <row r="902" spans="1:5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row>
    <row r="903" spans="1:5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row>
    <row r="904" spans="1:5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row>
    <row r="905" spans="1:5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row>
    <row r="906" spans="1:5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row>
    <row r="907" spans="1:5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row>
    <row r="908" spans="1:5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row>
    <row r="909" spans="1:5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row>
    <row r="910" spans="1:5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row>
    <row r="911" spans="1:5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row>
    <row r="912" spans="1:5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row>
    <row r="913" spans="1:5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row>
    <row r="914" spans="1:5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row>
    <row r="915" spans="1:5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row>
    <row r="916" spans="1:5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row>
    <row r="917" spans="1:5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row>
    <row r="918" spans="1:5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row>
    <row r="919" spans="1:5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row>
    <row r="920" spans="1:5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row>
    <row r="921" spans="1:5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row>
    <row r="922" spans="1:5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row>
    <row r="923" spans="1:5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row>
    <row r="924" spans="1:5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row>
    <row r="925" spans="1:5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row>
    <row r="926" spans="1:5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row>
    <row r="927" spans="1:5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row>
    <row r="928" spans="1:5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row>
    <row r="929" spans="1:5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row>
    <row r="930" spans="1:5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row>
    <row r="931" spans="1:5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row>
    <row r="932" spans="1:5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row>
    <row r="933" spans="1:5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row>
    <row r="934" spans="1:5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row>
    <row r="935" spans="1:5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row>
    <row r="936" spans="1:5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row>
    <row r="937" spans="1:5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row>
    <row r="938" spans="1:5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row>
    <row r="939" spans="1:5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row>
    <row r="940" spans="1:5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row>
    <row r="941" spans="1:5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row>
    <row r="942" spans="1:5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row>
    <row r="943" spans="1:5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row>
    <row r="944" spans="1:5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row>
    <row r="945" spans="1:5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row>
    <row r="946" spans="1:5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row>
    <row r="947" spans="1:5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row>
    <row r="948" spans="1:5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row>
    <row r="949" spans="1:5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row>
    <row r="950" spans="1:5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row>
    <row r="951" spans="1:5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row>
    <row r="952" spans="1:5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row>
    <row r="953" spans="1:5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row>
    <row r="954" spans="1:5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row>
    <row r="955" spans="1:5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row>
    <row r="956" spans="1:5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row>
    <row r="957" spans="1:5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row>
    <row r="958" spans="1:5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row>
    <row r="959" spans="1:5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row>
    <row r="960" spans="1:5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row>
    <row r="961" spans="1:5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row>
    <row r="962" spans="1:5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row>
    <row r="963" spans="1:5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row>
    <row r="964" spans="1:5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row>
    <row r="965" spans="1:5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row>
    <row r="966" spans="1:5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row>
    <row r="967" spans="1:5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row>
    <row r="968" spans="1:5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row>
    <row r="969" spans="1:5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row>
    <row r="970" spans="1:5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row>
    <row r="971" spans="1:5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row>
    <row r="972" spans="1:5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row>
    <row r="973" spans="1:5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row>
    <row r="974" spans="1:5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row>
    <row r="975" spans="1:5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row>
    <row r="976" spans="1:5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row>
    <row r="977" spans="1:5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row>
    <row r="978" spans="1:5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row>
    <row r="979" spans="1:5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row>
    <row r="980" spans="1:5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row>
    <row r="981" spans="1:5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row>
    <row r="982" spans="1:5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row>
    <row r="983" spans="1:5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row>
    <row r="984" spans="1:5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row>
    <row r="985" spans="1:5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row>
    <row r="986" spans="1:5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row>
    <row r="987" spans="1:5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row>
    <row r="988" spans="1:5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row>
    <row r="989" spans="1:5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row>
    <row r="990" spans="1:5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row>
    <row r="991" spans="1:5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row>
    <row r="992" spans="1:5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row>
    <row r="993" spans="1:5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row>
    <row r="994" spans="1:5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row>
    <row r="995" spans="1:5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row>
    <row r="996" spans="1:5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row>
    <row r="997" spans="1:5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row>
    <row r="998" spans="1:5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row>
    <row r="999" spans="1:5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row>
    <row r="1000" spans="1:5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row>
    <row r="1001" spans="1:5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row>
    <row r="1002" spans="1:5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c r="AD1002" s="9"/>
      <c r="AE1002" s="9"/>
      <c r="AF1002" s="9"/>
      <c r="AG1002" s="9"/>
      <c r="AH1002" s="9"/>
      <c r="AI1002" s="9"/>
      <c r="AJ1002" s="9"/>
      <c r="AK1002" s="9"/>
      <c r="AL1002" s="9"/>
      <c r="AM1002" s="9"/>
      <c r="AN1002" s="9"/>
      <c r="AO1002" s="9"/>
      <c r="AP1002" s="9"/>
      <c r="AQ1002" s="9"/>
      <c r="AR1002" s="9"/>
      <c r="AS1002" s="9"/>
      <c r="AT1002" s="9"/>
      <c r="AU1002" s="9"/>
      <c r="AV1002" s="9"/>
      <c r="AW1002" s="9"/>
      <c r="AX1002" s="9"/>
      <c r="AY1002" s="9"/>
      <c r="AZ1002" s="9"/>
    </row>
    <row r="1003" spans="1:52">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c r="AD1003" s="9"/>
      <c r="AE1003" s="9"/>
      <c r="AF1003" s="9"/>
      <c r="AG1003" s="9"/>
      <c r="AH1003" s="9"/>
      <c r="AI1003" s="9"/>
      <c r="AJ1003" s="9"/>
      <c r="AK1003" s="9"/>
      <c r="AL1003" s="9"/>
      <c r="AM1003" s="9"/>
      <c r="AN1003" s="9"/>
      <c r="AO1003" s="9"/>
      <c r="AP1003" s="9"/>
      <c r="AQ1003" s="9"/>
      <c r="AR1003" s="9"/>
      <c r="AS1003" s="9"/>
      <c r="AT1003" s="9"/>
      <c r="AU1003" s="9"/>
      <c r="AV1003" s="9"/>
      <c r="AW1003" s="9"/>
      <c r="AX1003" s="9"/>
      <c r="AY1003" s="9"/>
      <c r="AZ1003" s="9"/>
    </row>
    <row r="1004" spans="1:52">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c r="AD1004" s="9"/>
      <c r="AE1004" s="9"/>
      <c r="AF1004" s="9"/>
      <c r="AG1004" s="9"/>
      <c r="AH1004" s="9"/>
      <c r="AI1004" s="9"/>
      <c r="AJ1004" s="9"/>
      <c r="AK1004" s="9"/>
      <c r="AL1004" s="9"/>
      <c r="AM1004" s="9"/>
      <c r="AN1004" s="9"/>
      <c r="AO1004" s="9"/>
      <c r="AP1004" s="9"/>
      <c r="AQ1004" s="9"/>
      <c r="AR1004" s="9"/>
      <c r="AS1004" s="9"/>
      <c r="AT1004" s="9"/>
      <c r="AU1004" s="9"/>
      <c r="AV1004" s="9"/>
      <c r="AW1004" s="9"/>
      <c r="AX1004" s="9"/>
      <c r="AY1004" s="9"/>
      <c r="AZ1004" s="9"/>
    </row>
    <row r="1005" spans="1:52">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c r="AD1005" s="9"/>
      <c r="AE1005" s="9"/>
      <c r="AF1005" s="9"/>
      <c r="AG1005" s="9"/>
      <c r="AH1005" s="9"/>
      <c r="AI1005" s="9"/>
      <c r="AJ1005" s="9"/>
      <c r="AK1005" s="9"/>
      <c r="AL1005" s="9"/>
      <c r="AM1005" s="9"/>
      <c r="AN1005" s="9"/>
      <c r="AO1005" s="9"/>
      <c r="AP1005" s="9"/>
      <c r="AQ1005" s="9"/>
      <c r="AR1005" s="9"/>
      <c r="AS1005" s="9"/>
      <c r="AT1005" s="9"/>
      <c r="AU1005" s="9"/>
      <c r="AV1005" s="9"/>
      <c r="AW1005" s="9"/>
      <c r="AX1005" s="9"/>
      <c r="AY1005" s="9"/>
      <c r="AZ1005" s="9"/>
    </row>
    <row r="1006" spans="1:52">
      <c r="A1006" s="9"/>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c r="AD1006" s="9"/>
      <c r="AE1006" s="9"/>
      <c r="AF1006" s="9"/>
      <c r="AG1006" s="9"/>
      <c r="AH1006" s="9"/>
      <c r="AI1006" s="9"/>
      <c r="AJ1006" s="9"/>
      <c r="AK1006" s="9"/>
      <c r="AL1006" s="9"/>
      <c r="AM1006" s="9"/>
      <c r="AN1006" s="9"/>
      <c r="AO1006" s="9"/>
      <c r="AP1006" s="9"/>
      <c r="AQ1006" s="9"/>
      <c r="AR1006" s="9"/>
      <c r="AS1006" s="9"/>
      <c r="AT1006" s="9"/>
      <c r="AU1006" s="9"/>
      <c r="AV1006" s="9"/>
      <c r="AW1006" s="9"/>
      <c r="AX1006" s="9"/>
      <c r="AY1006" s="9"/>
      <c r="AZ1006" s="9"/>
    </row>
    <row r="1007" spans="1:52">
      <c r="A1007" s="9"/>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c r="AD1007" s="9"/>
      <c r="AE1007" s="9"/>
      <c r="AF1007" s="9"/>
      <c r="AG1007" s="9"/>
      <c r="AH1007" s="9"/>
      <c r="AI1007" s="9"/>
      <c r="AJ1007" s="9"/>
      <c r="AK1007" s="9"/>
      <c r="AL1007" s="9"/>
      <c r="AM1007" s="9"/>
      <c r="AN1007" s="9"/>
      <c r="AO1007" s="9"/>
      <c r="AP1007" s="9"/>
      <c r="AQ1007" s="9"/>
      <c r="AR1007" s="9"/>
      <c r="AS1007" s="9"/>
      <c r="AT1007" s="9"/>
      <c r="AU1007" s="9"/>
      <c r="AV1007" s="9"/>
      <c r="AW1007" s="9"/>
      <c r="AX1007" s="9"/>
      <c r="AY1007" s="9"/>
      <c r="AZ1007" s="9"/>
    </row>
    <row r="1008" spans="1:52">
      <c r="A1008" s="9"/>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c r="AD1008" s="9"/>
      <c r="AE1008" s="9"/>
      <c r="AF1008" s="9"/>
      <c r="AG1008" s="9"/>
      <c r="AH1008" s="9"/>
      <c r="AI1008" s="9"/>
      <c r="AJ1008" s="9"/>
      <c r="AK1008" s="9"/>
      <c r="AL1008" s="9"/>
      <c r="AM1008" s="9"/>
      <c r="AN1008" s="9"/>
      <c r="AO1008" s="9"/>
      <c r="AP1008" s="9"/>
      <c r="AQ1008" s="9"/>
      <c r="AR1008" s="9"/>
      <c r="AS1008" s="9"/>
      <c r="AT1008" s="9"/>
      <c r="AU1008" s="9"/>
      <c r="AV1008" s="9"/>
      <c r="AW1008" s="9"/>
      <c r="AX1008" s="9"/>
      <c r="AY1008" s="9"/>
      <c r="AZ1008" s="9"/>
    </row>
    <row r="1009" spans="1:52">
      <c r="A1009" s="9"/>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c r="AD1009" s="9"/>
      <c r="AE1009" s="9"/>
      <c r="AF1009" s="9"/>
      <c r="AG1009" s="9"/>
      <c r="AH1009" s="9"/>
      <c r="AI1009" s="9"/>
      <c r="AJ1009" s="9"/>
      <c r="AK1009" s="9"/>
      <c r="AL1009" s="9"/>
      <c r="AM1009" s="9"/>
      <c r="AN1009" s="9"/>
      <c r="AO1009" s="9"/>
      <c r="AP1009" s="9"/>
      <c r="AQ1009" s="9"/>
      <c r="AR1009" s="9"/>
      <c r="AS1009" s="9"/>
      <c r="AT1009" s="9"/>
      <c r="AU1009" s="9"/>
      <c r="AV1009" s="9"/>
      <c r="AW1009" s="9"/>
      <c r="AX1009" s="9"/>
      <c r="AY1009" s="9"/>
      <c r="AZ1009" s="9"/>
    </row>
    <row r="1010" spans="1:52">
      <c r="A1010" s="9"/>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c r="AD1010" s="9"/>
      <c r="AE1010" s="9"/>
      <c r="AF1010" s="9"/>
      <c r="AG1010" s="9"/>
      <c r="AH1010" s="9"/>
      <c r="AI1010" s="9"/>
      <c r="AJ1010" s="9"/>
      <c r="AK1010" s="9"/>
      <c r="AL1010" s="9"/>
      <c r="AM1010" s="9"/>
      <c r="AN1010" s="9"/>
      <c r="AO1010" s="9"/>
      <c r="AP1010" s="9"/>
      <c r="AQ1010" s="9"/>
      <c r="AR1010" s="9"/>
      <c r="AS1010" s="9"/>
      <c r="AT1010" s="9"/>
      <c r="AU1010" s="9"/>
      <c r="AV1010" s="9"/>
      <c r="AW1010" s="9"/>
      <c r="AX1010" s="9"/>
      <c r="AY1010" s="9"/>
      <c r="AZ1010" s="9"/>
    </row>
    <row r="1011" spans="1:52">
      <c r="A1011" s="9"/>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c r="AD1011" s="9"/>
      <c r="AE1011" s="9"/>
      <c r="AF1011" s="9"/>
      <c r="AG1011" s="9"/>
      <c r="AH1011" s="9"/>
      <c r="AI1011" s="9"/>
      <c r="AJ1011" s="9"/>
      <c r="AK1011" s="9"/>
      <c r="AL1011" s="9"/>
      <c r="AM1011" s="9"/>
      <c r="AN1011" s="9"/>
      <c r="AO1011" s="9"/>
      <c r="AP1011" s="9"/>
      <c r="AQ1011" s="9"/>
      <c r="AR1011" s="9"/>
      <c r="AS1011" s="9"/>
      <c r="AT1011" s="9"/>
      <c r="AU1011" s="9"/>
      <c r="AV1011" s="9"/>
      <c r="AW1011" s="9"/>
      <c r="AX1011" s="9"/>
      <c r="AY1011" s="9"/>
      <c r="AZ1011" s="9"/>
    </row>
    <row r="1012" spans="1:52">
      <c r="A1012" s="9"/>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c r="AD1012" s="9"/>
      <c r="AE1012" s="9"/>
      <c r="AF1012" s="9"/>
      <c r="AG1012" s="9"/>
      <c r="AH1012" s="9"/>
      <c r="AI1012" s="9"/>
      <c r="AJ1012" s="9"/>
      <c r="AK1012" s="9"/>
      <c r="AL1012" s="9"/>
      <c r="AM1012" s="9"/>
      <c r="AN1012" s="9"/>
      <c r="AO1012" s="9"/>
      <c r="AP1012" s="9"/>
      <c r="AQ1012" s="9"/>
      <c r="AR1012" s="9"/>
      <c r="AS1012" s="9"/>
      <c r="AT1012" s="9"/>
      <c r="AU1012" s="9"/>
      <c r="AV1012" s="9"/>
      <c r="AW1012" s="9"/>
      <c r="AX1012" s="9"/>
      <c r="AY1012" s="9"/>
      <c r="AZ1012" s="9"/>
    </row>
    <row r="1013" spans="1:52">
      <c r="A1013" s="9"/>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c r="AD1013" s="9"/>
      <c r="AE1013" s="9"/>
      <c r="AF1013" s="9"/>
      <c r="AG1013" s="9"/>
      <c r="AH1013" s="9"/>
      <c r="AI1013" s="9"/>
      <c r="AJ1013" s="9"/>
      <c r="AK1013" s="9"/>
      <c r="AL1013" s="9"/>
      <c r="AM1013" s="9"/>
      <c r="AN1013" s="9"/>
      <c r="AO1013" s="9"/>
      <c r="AP1013" s="9"/>
      <c r="AQ1013" s="9"/>
      <c r="AR1013" s="9"/>
      <c r="AS1013" s="9"/>
      <c r="AT1013" s="9"/>
      <c r="AU1013" s="9"/>
      <c r="AV1013" s="9"/>
      <c r="AW1013" s="9"/>
      <c r="AX1013" s="9"/>
      <c r="AY1013" s="9"/>
      <c r="AZ1013" s="9"/>
    </row>
    <row r="1014" spans="1:52">
      <c r="A1014" s="9"/>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c r="AD1014" s="9"/>
      <c r="AE1014" s="9"/>
      <c r="AF1014" s="9"/>
      <c r="AG1014" s="9"/>
      <c r="AH1014" s="9"/>
      <c r="AI1014" s="9"/>
      <c r="AJ1014" s="9"/>
      <c r="AK1014" s="9"/>
      <c r="AL1014" s="9"/>
      <c r="AM1014" s="9"/>
      <c r="AN1014" s="9"/>
      <c r="AO1014" s="9"/>
      <c r="AP1014" s="9"/>
      <c r="AQ1014" s="9"/>
      <c r="AR1014" s="9"/>
      <c r="AS1014" s="9"/>
      <c r="AT1014" s="9"/>
      <c r="AU1014" s="9"/>
      <c r="AV1014" s="9"/>
      <c r="AW1014" s="9"/>
      <c r="AX1014" s="9"/>
      <c r="AY1014" s="9"/>
      <c r="AZ1014" s="9"/>
    </row>
    <row r="1015" spans="1:52">
      <c r="A1015" s="9"/>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c r="AD1015" s="9"/>
      <c r="AE1015" s="9"/>
      <c r="AF1015" s="9"/>
      <c r="AG1015" s="9"/>
      <c r="AH1015" s="9"/>
      <c r="AI1015" s="9"/>
      <c r="AJ1015" s="9"/>
      <c r="AK1015" s="9"/>
      <c r="AL1015" s="9"/>
      <c r="AM1015" s="9"/>
      <c r="AN1015" s="9"/>
      <c r="AO1015" s="9"/>
      <c r="AP1015" s="9"/>
      <c r="AQ1015" s="9"/>
      <c r="AR1015" s="9"/>
      <c r="AS1015" s="9"/>
      <c r="AT1015" s="9"/>
      <c r="AU1015" s="9"/>
      <c r="AV1015" s="9"/>
      <c r="AW1015" s="9"/>
      <c r="AX1015" s="9"/>
      <c r="AY1015" s="9"/>
      <c r="AZ1015" s="9"/>
    </row>
    <row r="1016" spans="1:52">
      <c r="A1016" s="9"/>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c r="AD1016" s="9"/>
      <c r="AE1016" s="9"/>
      <c r="AF1016" s="9"/>
      <c r="AG1016" s="9"/>
      <c r="AH1016" s="9"/>
      <c r="AI1016" s="9"/>
      <c r="AJ1016" s="9"/>
      <c r="AK1016" s="9"/>
      <c r="AL1016" s="9"/>
      <c r="AM1016" s="9"/>
      <c r="AN1016" s="9"/>
      <c r="AO1016" s="9"/>
      <c r="AP1016" s="9"/>
      <c r="AQ1016" s="9"/>
      <c r="AR1016" s="9"/>
      <c r="AS1016" s="9"/>
      <c r="AT1016" s="9"/>
      <c r="AU1016" s="9"/>
      <c r="AV1016" s="9"/>
      <c r="AW1016" s="9"/>
      <c r="AX1016" s="9"/>
      <c r="AY1016" s="9"/>
      <c r="AZ1016" s="9"/>
    </row>
    <row r="1017" spans="1:52">
      <c r="A1017" s="9"/>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c r="AD1017" s="9"/>
      <c r="AE1017" s="9"/>
      <c r="AF1017" s="9"/>
      <c r="AG1017" s="9"/>
      <c r="AH1017" s="9"/>
      <c r="AI1017" s="9"/>
      <c r="AJ1017" s="9"/>
      <c r="AK1017" s="9"/>
      <c r="AL1017" s="9"/>
      <c r="AM1017" s="9"/>
      <c r="AN1017" s="9"/>
      <c r="AO1017" s="9"/>
      <c r="AP1017" s="9"/>
      <c r="AQ1017" s="9"/>
      <c r="AR1017" s="9"/>
      <c r="AS1017" s="9"/>
      <c r="AT1017" s="9"/>
      <c r="AU1017" s="9"/>
      <c r="AV1017" s="9"/>
      <c r="AW1017" s="9"/>
      <c r="AX1017" s="9"/>
      <c r="AY1017" s="9"/>
      <c r="AZ1017" s="9"/>
    </row>
    <row r="1018" spans="1:52">
      <c r="A1018" s="9"/>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c r="AD1018" s="9"/>
      <c r="AE1018" s="9"/>
      <c r="AF1018" s="9"/>
      <c r="AG1018" s="9"/>
      <c r="AH1018" s="9"/>
      <c r="AI1018" s="9"/>
      <c r="AJ1018" s="9"/>
      <c r="AK1018" s="9"/>
      <c r="AL1018" s="9"/>
      <c r="AM1018" s="9"/>
      <c r="AN1018" s="9"/>
      <c r="AO1018" s="9"/>
      <c r="AP1018" s="9"/>
      <c r="AQ1018" s="9"/>
      <c r="AR1018" s="9"/>
      <c r="AS1018" s="9"/>
      <c r="AT1018" s="9"/>
      <c r="AU1018" s="9"/>
      <c r="AV1018" s="9"/>
      <c r="AW1018" s="9"/>
      <c r="AX1018" s="9"/>
      <c r="AY1018" s="9"/>
      <c r="AZ1018" s="9"/>
    </row>
    <row r="1019" spans="1:52">
      <c r="A1019" s="9"/>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c r="AD1019" s="9"/>
      <c r="AE1019" s="9"/>
      <c r="AF1019" s="9"/>
      <c r="AG1019" s="9"/>
      <c r="AH1019" s="9"/>
      <c r="AI1019" s="9"/>
      <c r="AJ1019" s="9"/>
      <c r="AK1019" s="9"/>
      <c r="AL1019" s="9"/>
      <c r="AM1019" s="9"/>
      <c r="AN1019" s="9"/>
      <c r="AO1019" s="9"/>
      <c r="AP1019" s="9"/>
      <c r="AQ1019" s="9"/>
      <c r="AR1019" s="9"/>
      <c r="AS1019" s="9"/>
      <c r="AT1019" s="9"/>
      <c r="AU1019" s="9"/>
      <c r="AV1019" s="9"/>
      <c r="AW1019" s="9"/>
      <c r="AX1019" s="9"/>
      <c r="AY1019" s="9"/>
      <c r="AZ1019" s="9"/>
    </row>
    <row r="1020" spans="1:52">
      <c r="A1020" s="9"/>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c r="AD1020" s="9"/>
      <c r="AE1020" s="9"/>
      <c r="AF1020" s="9"/>
      <c r="AG1020" s="9"/>
      <c r="AH1020" s="9"/>
      <c r="AI1020" s="9"/>
      <c r="AJ1020" s="9"/>
      <c r="AK1020" s="9"/>
      <c r="AL1020" s="9"/>
      <c r="AM1020" s="9"/>
      <c r="AN1020" s="9"/>
      <c r="AO1020" s="9"/>
      <c r="AP1020" s="9"/>
      <c r="AQ1020" s="9"/>
      <c r="AR1020" s="9"/>
      <c r="AS1020" s="9"/>
      <c r="AT1020" s="9"/>
      <c r="AU1020" s="9"/>
      <c r="AV1020" s="9"/>
      <c r="AW1020" s="9"/>
      <c r="AX1020" s="9"/>
      <c r="AY1020" s="9"/>
      <c r="AZ1020" s="9"/>
    </row>
    <row r="1021" spans="1:52">
      <c r="A1021" s="9"/>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c r="AD1021" s="9"/>
      <c r="AE1021" s="9"/>
      <c r="AF1021" s="9"/>
      <c r="AG1021" s="9"/>
      <c r="AH1021" s="9"/>
      <c r="AI1021" s="9"/>
      <c r="AJ1021" s="9"/>
      <c r="AK1021" s="9"/>
      <c r="AL1021" s="9"/>
      <c r="AM1021" s="9"/>
      <c r="AN1021" s="9"/>
      <c r="AO1021" s="9"/>
      <c r="AP1021" s="9"/>
      <c r="AQ1021" s="9"/>
      <c r="AR1021" s="9"/>
      <c r="AS1021" s="9"/>
      <c r="AT1021" s="9"/>
      <c r="AU1021" s="9"/>
      <c r="AV1021" s="9"/>
      <c r="AW1021" s="9"/>
      <c r="AX1021" s="9"/>
      <c r="AY1021" s="9"/>
      <c r="AZ1021" s="9"/>
    </row>
    <row r="1022" spans="1:52">
      <c r="A1022" s="9"/>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c r="AD1022" s="9"/>
      <c r="AE1022" s="9"/>
      <c r="AF1022" s="9"/>
      <c r="AG1022" s="9"/>
      <c r="AH1022" s="9"/>
      <c r="AI1022" s="9"/>
      <c r="AJ1022" s="9"/>
      <c r="AK1022" s="9"/>
      <c r="AL1022" s="9"/>
      <c r="AM1022" s="9"/>
      <c r="AN1022" s="9"/>
      <c r="AO1022" s="9"/>
      <c r="AP1022" s="9"/>
      <c r="AQ1022" s="9"/>
      <c r="AR1022" s="9"/>
      <c r="AS1022" s="9"/>
      <c r="AT1022" s="9"/>
      <c r="AU1022" s="9"/>
      <c r="AV1022" s="9"/>
      <c r="AW1022" s="9"/>
      <c r="AX1022" s="9"/>
      <c r="AY1022" s="9"/>
      <c r="AZ1022" s="9"/>
    </row>
    <row r="1023" spans="1:52">
      <c r="A1023" s="9"/>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c r="AD1023" s="9"/>
      <c r="AE1023" s="9"/>
      <c r="AF1023" s="9"/>
      <c r="AG1023" s="9"/>
      <c r="AH1023" s="9"/>
      <c r="AI1023" s="9"/>
      <c r="AJ1023" s="9"/>
      <c r="AK1023" s="9"/>
      <c r="AL1023" s="9"/>
      <c r="AM1023" s="9"/>
      <c r="AN1023" s="9"/>
      <c r="AO1023" s="9"/>
      <c r="AP1023" s="9"/>
      <c r="AQ1023" s="9"/>
      <c r="AR1023" s="9"/>
      <c r="AS1023" s="9"/>
      <c r="AT1023" s="9"/>
      <c r="AU1023" s="9"/>
      <c r="AV1023" s="9"/>
      <c r="AW1023" s="9"/>
      <c r="AX1023" s="9"/>
      <c r="AY1023" s="9"/>
      <c r="AZ1023" s="9"/>
    </row>
    <row r="1024" spans="1:52">
      <c r="A1024" s="9"/>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c r="AD1024" s="9"/>
      <c r="AE1024" s="9"/>
      <c r="AF1024" s="9"/>
      <c r="AG1024" s="9"/>
      <c r="AH1024" s="9"/>
      <c r="AI1024" s="9"/>
      <c r="AJ1024" s="9"/>
      <c r="AK1024" s="9"/>
      <c r="AL1024" s="9"/>
      <c r="AM1024" s="9"/>
      <c r="AN1024" s="9"/>
      <c r="AO1024" s="9"/>
      <c r="AP1024" s="9"/>
      <c r="AQ1024" s="9"/>
      <c r="AR1024" s="9"/>
      <c r="AS1024" s="9"/>
      <c r="AT1024" s="9"/>
      <c r="AU1024" s="9"/>
      <c r="AV1024" s="9"/>
      <c r="AW1024" s="9"/>
      <c r="AX1024" s="9"/>
      <c r="AY1024" s="9"/>
      <c r="AZ1024" s="9"/>
    </row>
    <row r="1025" spans="1:52">
      <c r="A1025" s="9"/>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c r="AD1025" s="9"/>
      <c r="AE1025" s="9"/>
      <c r="AF1025" s="9"/>
      <c r="AG1025" s="9"/>
      <c r="AH1025" s="9"/>
      <c r="AI1025" s="9"/>
      <c r="AJ1025" s="9"/>
      <c r="AK1025" s="9"/>
      <c r="AL1025" s="9"/>
      <c r="AM1025" s="9"/>
      <c r="AN1025" s="9"/>
      <c r="AO1025" s="9"/>
      <c r="AP1025" s="9"/>
      <c r="AQ1025" s="9"/>
      <c r="AR1025" s="9"/>
      <c r="AS1025" s="9"/>
      <c r="AT1025" s="9"/>
      <c r="AU1025" s="9"/>
      <c r="AV1025" s="9"/>
      <c r="AW1025" s="9"/>
      <c r="AX1025" s="9"/>
      <c r="AY1025" s="9"/>
      <c r="AZ1025" s="9"/>
    </row>
    <row r="1026" spans="1:52">
      <c r="A1026" s="9"/>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c r="AD1026" s="9"/>
      <c r="AE1026" s="9"/>
      <c r="AF1026" s="9"/>
      <c r="AG1026" s="9"/>
      <c r="AH1026" s="9"/>
      <c r="AI1026" s="9"/>
      <c r="AJ1026" s="9"/>
      <c r="AK1026" s="9"/>
      <c r="AL1026" s="9"/>
      <c r="AM1026" s="9"/>
      <c r="AN1026" s="9"/>
      <c r="AO1026" s="9"/>
      <c r="AP1026" s="9"/>
      <c r="AQ1026" s="9"/>
      <c r="AR1026" s="9"/>
      <c r="AS1026" s="9"/>
      <c r="AT1026" s="9"/>
      <c r="AU1026" s="9"/>
      <c r="AV1026" s="9"/>
      <c r="AW1026" s="9"/>
      <c r="AX1026" s="9"/>
      <c r="AY1026" s="9"/>
      <c r="AZ1026" s="9"/>
    </row>
    <row r="1027" spans="1:52">
      <c r="A1027" s="9"/>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c r="AD1027" s="9"/>
      <c r="AE1027" s="9"/>
      <c r="AF1027" s="9"/>
      <c r="AG1027" s="9"/>
      <c r="AH1027" s="9"/>
      <c r="AI1027" s="9"/>
      <c r="AJ1027" s="9"/>
      <c r="AK1027" s="9"/>
      <c r="AL1027" s="9"/>
      <c r="AM1027" s="9"/>
      <c r="AN1027" s="9"/>
      <c r="AO1027" s="9"/>
      <c r="AP1027" s="9"/>
      <c r="AQ1027" s="9"/>
      <c r="AR1027" s="9"/>
      <c r="AS1027" s="9"/>
      <c r="AT1027" s="9"/>
      <c r="AU1027" s="9"/>
      <c r="AV1027" s="9"/>
      <c r="AW1027" s="9"/>
      <c r="AX1027" s="9"/>
      <c r="AY1027" s="9"/>
      <c r="AZ1027" s="9"/>
    </row>
    <row r="1028" spans="1:52">
      <c r="A1028" s="9"/>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c r="AD1028" s="9"/>
      <c r="AE1028" s="9"/>
      <c r="AF1028" s="9"/>
      <c r="AG1028" s="9"/>
      <c r="AH1028" s="9"/>
      <c r="AI1028" s="9"/>
      <c r="AJ1028" s="9"/>
      <c r="AK1028" s="9"/>
      <c r="AL1028" s="9"/>
      <c r="AM1028" s="9"/>
      <c r="AN1028" s="9"/>
      <c r="AO1028" s="9"/>
      <c r="AP1028" s="9"/>
      <c r="AQ1028" s="9"/>
      <c r="AR1028" s="9"/>
      <c r="AS1028" s="9"/>
      <c r="AT1028" s="9"/>
      <c r="AU1028" s="9"/>
      <c r="AV1028" s="9"/>
      <c r="AW1028" s="9"/>
      <c r="AX1028" s="9"/>
      <c r="AY1028" s="9"/>
      <c r="AZ1028" s="9"/>
    </row>
    <row r="1029" spans="1:52">
      <c r="A1029" s="9"/>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c r="AD1029" s="9"/>
      <c r="AE1029" s="9"/>
      <c r="AF1029" s="9"/>
      <c r="AG1029" s="9"/>
      <c r="AH1029" s="9"/>
      <c r="AI1029" s="9"/>
      <c r="AJ1029" s="9"/>
      <c r="AK1029" s="9"/>
      <c r="AL1029" s="9"/>
      <c r="AM1029" s="9"/>
      <c r="AN1029" s="9"/>
      <c r="AO1029" s="9"/>
      <c r="AP1029" s="9"/>
      <c r="AQ1029" s="9"/>
      <c r="AR1029" s="9"/>
      <c r="AS1029" s="9"/>
      <c r="AT1029" s="9"/>
      <c r="AU1029" s="9"/>
      <c r="AV1029" s="9"/>
      <c r="AW1029" s="9"/>
      <c r="AX1029" s="9"/>
      <c r="AY1029" s="9"/>
      <c r="AZ1029" s="9"/>
    </row>
    <row r="1030" spans="1:52">
      <c r="A1030" s="9"/>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c r="AD1030" s="9"/>
      <c r="AE1030" s="9"/>
      <c r="AF1030" s="9"/>
      <c r="AG1030" s="9"/>
      <c r="AH1030" s="9"/>
      <c r="AI1030" s="9"/>
      <c r="AJ1030" s="9"/>
      <c r="AK1030" s="9"/>
      <c r="AL1030" s="9"/>
      <c r="AM1030" s="9"/>
      <c r="AN1030" s="9"/>
      <c r="AO1030" s="9"/>
      <c r="AP1030" s="9"/>
      <c r="AQ1030" s="9"/>
      <c r="AR1030" s="9"/>
      <c r="AS1030" s="9"/>
      <c r="AT1030" s="9"/>
      <c r="AU1030" s="9"/>
      <c r="AV1030" s="9"/>
      <c r="AW1030" s="9"/>
      <c r="AX1030" s="9"/>
      <c r="AY1030" s="9"/>
      <c r="AZ1030" s="9"/>
    </row>
    <row r="1031" spans="1:52">
      <c r="A1031" s="9"/>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c r="AD1031" s="9"/>
      <c r="AE1031" s="9"/>
      <c r="AF1031" s="9"/>
      <c r="AG1031" s="9"/>
      <c r="AH1031" s="9"/>
      <c r="AI1031" s="9"/>
      <c r="AJ1031" s="9"/>
      <c r="AK1031" s="9"/>
      <c r="AL1031" s="9"/>
      <c r="AM1031" s="9"/>
      <c r="AN1031" s="9"/>
      <c r="AO1031" s="9"/>
      <c r="AP1031" s="9"/>
      <c r="AQ1031" s="9"/>
      <c r="AR1031" s="9"/>
      <c r="AS1031" s="9"/>
      <c r="AT1031" s="9"/>
      <c r="AU1031" s="9"/>
      <c r="AV1031" s="9"/>
      <c r="AW1031" s="9"/>
      <c r="AX1031" s="9"/>
      <c r="AY1031" s="9"/>
      <c r="AZ1031" s="9"/>
    </row>
    <row r="1032" spans="1:52">
      <c r="A1032" s="9"/>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c r="AD1032" s="9"/>
      <c r="AE1032" s="9"/>
      <c r="AF1032" s="9"/>
      <c r="AG1032" s="9"/>
      <c r="AH1032" s="9"/>
      <c r="AI1032" s="9"/>
      <c r="AJ1032" s="9"/>
      <c r="AK1032" s="9"/>
      <c r="AL1032" s="9"/>
      <c r="AM1032" s="9"/>
      <c r="AN1032" s="9"/>
      <c r="AO1032" s="9"/>
      <c r="AP1032" s="9"/>
      <c r="AQ1032" s="9"/>
      <c r="AR1032" s="9"/>
      <c r="AS1032" s="9"/>
      <c r="AT1032" s="9"/>
      <c r="AU1032" s="9"/>
      <c r="AV1032" s="9"/>
      <c r="AW1032" s="9"/>
      <c r="AX1032" s="9"/>
      <c r="AY1032" s="9"/>
      <c r="AZ1032" s="9"/>
    </row>
    <row r="1033" spans="1:52">
      <c r="A1033" s="9"/>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c r="AD1033" s="9"/>
      <c r="AE1033" s="9"/>
      <c r="AF1033" s="9"/>
      <c r="AG1033" s="9"/>
      <c r="AH1033" s="9"/>
      <c r="AI1033" s="9"/>
      <c r="AJ1033" s="9"/>
      <c r="AK1033" s="9"/>
      <c r="AL1033" s="9"/>
      <c r="AM1033" s="9"/>
      <c r="AN1033" s="9"/>
      <c r="AO1033" s="9"/>
      <c r="AP1033" s="9"/>
      <c r="AQ1033" s="9"/>
      <c r="AR1033" s="9"/>
      <c r="AS1033" s="9"/>
      <c r="AT1033" s="9"/>
      <c r="AU1033" s="9"/>
      <c r="AV1033" s="9"/>
      <c r="AW1033" s="9"/>
      <c r="AX1033" s="9"/>
      <c r="AY1033" s="9"/>
      <c r="AZ1033" s="9"/>
    </row>
    <row r="1034" spans="1:52">
      <c r="A1034" s="9"/>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c r="AD1034" s="9"/>
      <c r="AE1034" s="9"/>
      <c r="AF1034" s="9"/>
      <c r="AG1034" s="9"/>
      <c r="AH1034" s="9"/>
      <c r="AI1034" s="9"/>
      <c r="AJ1034" s="9"/>
      <c r="AK1034" s="9"/>
      <c r="AL1034" s="9"/>
      <c r="AM1034" s="9"/>
      <c r="AN1034" s="9"/>
      <c r="AO1034" s="9"/>
      <c r="AP1034" s="9"/>
      <c r="AQ1034" s="9"/>
      <c r="AR1034" s="9"/>
      <c r="AS1034" s="9"/>
      <c r="AT1034" s="9"/>
      <c r="AU1034" s="9"/>
      <c r="AV1034" s="9"/>
      <c r="AW1034" s="9"/>
      <c r="AX1034" s="9"/>
      <c r="AY1034" s="9"/>
      <c r="AZ1034" s="9"/>
    </row>
    <row r="1035" spans="1:52">
      <c r="A1035" s="9"/>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c r="AD1035" s="9"/>
      <c r="AE1035" s="9"/>
      <c r="AF1035" s="9"/>
      <c r="AG1035" s="9"/>
      <c r="AH1035" s="9"/>
      <c r="AI1035" s="9"/>
      <c r="AJ1035" s="9"/>
      <c r="AK1035" s="9"/>
      <c r="AL1035" s="9"/>
      <c r="AM1035" s="9"/>
      <c r="AN1035" s="9"/>
      <c r="AO1035" s="9"/>
      <c r="AP1035" s="9"/>
      <c r="AQ1035" s="9"/>
      <c r="AR1035" s="9"/>
      <c r="AS1035" s="9"/>
      <c r="AT1035" s="9"/>
      <c r="AU1035" s="9"/>
      <c r="AV1035" s="9"/>
      <c r="AW1035" s="9"/>
      <c r="AX1035" s="9"/>
      <c r="AY1035" s="9"/>
      <c r="AZ1035" s="9"/>
    </row>
    <row r="1036" spans="1:52">
      <c r="A1036" s="9"/>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c r="AD1036" s="9"/>
      <c r="AE1036" s="9"/>
      <c r="AF1036" s="9"/>
      <c r="AG1036" s="9"/>
      <c r="AH1036" s="9"/>
      <c r="AI1036" s="9"/>
      <c r="AJ1036" s="9"/>
      <c r="AK1036" s="9"/>
      <c r="AL1036" s="9"/>
      <c r="AM1036" s="9"/>
      <c r="AN1036" s="9"/>
      <c r="AO1036" s="9"/>
      <c r="AP1036" s="9"/>
      <c r="AQ1036" s="9"/>
      <c r="AR1036" s="9"/>
      <c r="AS1036" s="9"/>
      <c r="AT1036" s="9"/>
      <c r="AU1036" s="9"/>
      <c r="AV1036" s="9"/>
      <c r="AW1036" s="9"/>
      <c r="AX1036" s="9"/>
      <c r="AY1036" s="9"/>
      <c r="AZ1036" s="9"/>
    </row>
    <row r="1037" spans="1:52">
      <c r="A1037" s="9"/>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c r="AD1037" s="9"/>
      <c r="AE1037" s="9"/>
      <c r="AF1037" s="9"/>
      <c r="AG1037" s="9"/>
      <c r="AH1037" s="9"/>
      <c r="AI1037" s="9"/>
      <c r="AJ1037" s="9"/>
      <c r="AK1037" s="9"/>
      <c r="AL1037" s="9"/>
      <c r="AM1037" s="9"/>
      <c r="AN1037" s="9"/>
      <c r="AO1037" s="9"/>
      <c r="AP1037" s="9"/>
      <c r="AQ1037" s="9"/>
      <c r="AR1037" s="9"/>
      <c r="AS1037" s="9"/>
      <c r="AT1037" s="9"/>
      <c r="AU1037" s="9"/>
      <c r="AV1037" s="9"/>
      <c r="AW1037" s="9"/>
      <c r="AX1037" s="9"/>
      <c r="AY1037" s="9"/>
      <c r="AZ1037" s="9"/>
    </row>
    <row r="1038" spans="1:52">
      <c r="A1038" s="9"/>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c r="AD1038" s="9"/>
      <c r="AE1038" s="9"/>
      <c r="AF1038" s="9"/>
      <c r="AG1038" s="9"/>
      <c r="AH1038" s="9"/>
      <c r="AI1038" s="9"/>
      <c r="AJ1038" s="9"/>
      <c r="AK1038" s="9"/>
      <c r="AL1038" s="9"/>
      <c r="AM1038" s="9"/>
      <c r="AN1038" s="9"/>
      <c r="AO1038" s="9"/>
      <c r="AP1038" s="9"/>
      <c r="AQ1038" s="9"/>
      <c r="AR1038" s="9"/>
      <c r="AS1038" s="9"/>
      <c r="AT1038" s="9"/>
      <c r="AU1038" s="9"/>
      <c r="AV1038" s="9"/>
      <c r="AW1038" s="9"/>
      <c r="AX1038" s="9"/>
      <c r="AY1038" s="9"/>
      <c r="AZ1038" s="9"/>
    </row>
    <row r="1039" spans="1:52">
      <c r="A1039" s="9"/>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c r="AD1039" s="9"/>
      <c r="AE1039" s="9"/>
      <c r="AF1039" s="9"/>
      <c r="AG1039" s="9"/>
      <c r="AH1039" s="9"/>
      <c r="AI1039" s="9"/>
      <c r="AJ1039" s="9"/>
      <c r="AK1039" s="9"/>
      <c r="AL1039" s="9"/>
      <c r="AM1039" s="9"/>
      <c r="AN1039" s="9"/>
      <c r="AO1039" s="9"/>
      <c r="AP1039" s="9"/>
      <c r="AQ1039" s="9"/>
      <c r="AR1039" s="9"/>
      <c r="AS1039" s="9"/>
      <c r="AT1039" s="9"/>
      <c r="AU1039" s="9"/>
      <c r="AV1039" s="9"/>
      <c r="AW1039" s="9"/>
      <c r="AX1039" s="9"/>
      <c r="AY1039" s="9"/>
      <c r="AZ1039" s="9"/>
    </row>
    <row r="1040" spans="1:52">
      <c r="A1040" s="9"/>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c r="AD1040" s="9"/>
      <c r="AE1040" s="9"/>
      <c r="AF1040" s="9"/>
      <c r="AG1040" s="9"/>
      <c r="AH1040" s="9"/>
      <c r="AI1040" s="9"/>
      <c r="AJ1040" s="9"/>
      <c r="AK1040" s="9"/>
      <c r="AL1040" s="9"/>
      <c r="AM1040" s="9"/>
      <c r="AN1040" s="9"/>
      <c r="AO1040" s="9"/>
      <c r="AP1040" s="9"/>
      <c r="AQ1040" s="9"/>
      <c r="AR1040" s="9"/>
      <c r="AS1040" s="9"/>
      <c r="AT1040" s="9"/>
      <c r="AU1040" s="9"/>
      <c r="AV1040" s="9"/>
      <c r="AW1040" s="9"/>
      <c r="AX1040" s="9"/>
      <c r="AY1040" s="9"/>
      <c r="AZ1040" s="9"/>
    </row>
    <row r="1041" spans="1:52">
      <c r="A1041" s="9"/>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c r="AD1041" s="9"/>
      <c r="AE1041" s="9"/>
      <c r="AF1041" s="9"/>
      <c r="AG1041" s="9"/>
      <c r="AH1041" s="9"/>
      <c r="AI1041" s="9"/>
      <c r="AJ1041" s="9"/>
      <c r="AK1041" s="9"/>
      <c r="AL1041" s="9"/>
      <c r="AM1041" s="9"/>
      <c r="AN1041" s="9"/>
      <c r="AO1041" s="9"/>
      <c r="AP1041" s="9"/>
      <c r="AQ1041" s="9"/>
      <c r="AR1041" s="9"/>
      <c r="AS1041" s="9"/>
      <c r="AT1041" s="9"/>
      <c r="AU1041" s="9"/>
      <c r="AV1041" s="9"/>
      <c r="AW1041" s="9"/>
      <c r="AX1041" s="9"/>
      <c r="AY1041" s="9"/>
      <c r="AZ1041" s="9"/>
    </row>
    <row r="1042" spans="1:52">
      <c r="A1042" s="9"/>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c r="AD1042" s="9"/>
      <c r="AE1042" s="9"/>
      <c r="AF1042" s="9"/>
      <c r="AG1042" s="9"/>
      <c r="AH1042" s="9"/>
      <c r="AI1042" s="9"/>
      <c r="AJ1042" s="9"/>
      <c r="AK1042" s="9"/>
      <c r="AL1042" s="9"/>
      <c r="AM1042" s="9"/>
      <c r="AN1042" s="9"/>
      <c r="AO1042" s="9"/>
      <c r="AP1042" s="9"/>
      <c r="AQ1042" s="9"/>
      <c r="AR1042" s="9"/>
      <c r="AS1042" s="9"/>
      <c r="AT1042" s="9"/>
      <c r="AU1042" s="9"/>
      <c r="AV1042" s="9"/>
      <c r="AW1042" s="9"/>
      <c r="AX1042" s="9"/>
      <c r="AY1042" s="9"/>
      <c r="AZ1042" s="9"/>
    </row>
    <row r="1043" spans="1:52">
      <c r="A1043" s="9"/>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c r="AD1043" s="9"/>
      <c r="AE1043" s="9"/>
      <c r="AF1043" s="9"/>
      <c r="AG1043" s="9"/>
      <c r="AH1043" s="9"/>
      <c r="AI1043" s="9"/>
      <c r="AJ1043" s="9"/>
      <c r="AK1043" s="9"/>
      <c r="AL1043" s="9"/>
      <c r="AM1043" s="9"/>
      <c r="AN1043" s="9"/>
      <c r="AO1043" s="9"/>
      <c r="AP1043" s="9"/>
      <c r="AQ1043" s="9"/>
      <c r="AR1043" s="9"/>
      <c r="AS1043" s="9"/>
      <c r="AT1043" s="9"/>
      <c r="AU1043" s="9"/>
      <c r="AV1043" s="9"/>
      <c r="AW1043" s="9"/>
      <c r="AX1043" s="9"/>
      <c r="AY1043" s="9"/>
      <c r="AZ1043" s="9"/>
    </row>
    <row r="1044" spans="1:52">
      <c r="A1044" s="9"/>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c r="AD1044" s="9"/>
      <c r="AE1044" s="9"/>
      <c r="AF1044" s="9"/>
      <c r="AG1044" s="9"/>
      <c r="AH1044" s="9"/>
      <c r="AI1044" s="9"/>
      <c r="AJ1044" s="9"/>
      <c r="AK1044" s="9"/>
      <c r="AL1044" s="9"/>
      <c r="AM1044" s="9"/>
      <c r="AN1044" s="9"/>
      <c r="AO1044" s="9"/>
      <c r="AP1044" s="9"/>
      <c r="AQ1044" s="9"/>
      <c r="AR1044" s="9"/>
      <c r="AS1044" s="9"/>
      <c r="AT1044" s="9"/>
      <c r="AU1044" s="9"/>
      <c r="AV1044" s="9"/>
      <c r="AW1044" s="9"/>
      <c r="AX1044" s="9"/>
      <c r="AY1044" s="9"/>
      <c r="AZ1044" s="9"/>
    </row>
    <row r="1045" spans="1:52">
      <c r="A1045" s="9"/>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c r="AD1045" s="9"/>
      <c r="AE1045" s="9"/>
      <c r="AF1045" s="9"/>
      <c r="AG1045" s="9"/>
      <c r="AH1045" s="9"/>
      <c r="AI1045" s="9"/>
      <c r="AJ1045" s="9"/>
      <c r="AK1045" s="9"/>
      <c r="AL1045" s="9"/>
      <c r="AM1045" s="9"/>
      <c r="AN1045" s="9"/>
      <c r="AO1045" s="9"/>
      <c r="AP1045" s="9"/>
      <c r="AQ1045" s="9"/>
      <c r="AR1045" s="9"/>
      <c r="AS1045" s="9"/>
      <c r="AT1045" s="9"/>
      <c r="AU1045" s="9"/>
      <c r="AV1045" s="9"/>
      <c r="AW1045" s="9"/>
      <c r="AX1045" s="9"/>
      <c r="AY1045" s="9"/>
      <c r="AZ1045" s="9"/>
    </row>
    <row r="1046" spans="1:52">
      <c r="A1046" s="9"/>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c r="AD1046" s="9"/>
      <c r="AE1046" s="9"/>
      <c r="AF1046" s="9"/>
      <c r="AG1046" s="9"/>
      <c r="AH1046" s="9"/>
      <c r="AI1046" s="9"/>
      <c r="AJ1046" s="9"/>
      <c r="AK1046" s="9"/>
      <c r="AL1046" s="9"/>
      <c r="AM1046" s="9"/>
      <c r="AN1046" s="9"/>
      <c r="AO1046" s="9"/>
      <c r="AP1046" s="9"/>
      <c r="AQ1046" s="9"/>
      <c r="AR1046" s="9"/>
      <c r="AS1046" s="9"/>
      <c r="AT1046" s="9"/>
      <c r="AU1046" s="9"/>
      <c r="AV1046" s="9"/>
      <c r="AW1046" s="9"/>
      <c r="AX1046" s="9"/>
      <c r="AY1046" s="9"/>
      <c r="AZ1046" s="9"/>
    </row>
    <row r="1047" spans="1:52">
      <c r="A1047" s="9"/>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c r="AD1047" s="9"/>
      <c r="AE1047" s="9"/>
      <c r="AF1047" s="9"/>
      <c r="AG1047" s="9"/>
      <c r="AH1047" s="9"/>
      <c r="AI1047" s="9"/>
      <c r="AJ1047" s="9"/>
      <c r="AK1047" s="9"/>
      <c r="AL1047" s="9"/>
      <c r="AM1047" s="9"/>
      <c r="AN1047" s="9"/>
      <c r="AO1047" s="9"/>
      <c r="AP1047" s="9"/>
      <c r="AQ1047" s="9"/>
      <c r="AR1047" s="9"/>
      <c r="AS1047" s="9"/>
      <c r="AT1047" s="9"/>
      <c r="AU1047" s="9"/>
      <c r="AV1047" s="9"/>
      <c r="AW1047" s="9"/>
      <c r="AX1047" s="9"/>
      <c r="AY1047" s="9"/>
      <c r="AZ1047" s="9"/>
    </row>
    <row r="1048" spans="1:52">
      <c r="A1048" s="9"/>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c r="AD1048" s="9"/>
      <c r="AE1048" s="9"/>
      <c r="AF1048" s="9"/>
      <c r="AG1048" s="9"/>
      <c r="AH1048" s="9"/>
      <c r="AI1048" s="9"/>
      <c r="AJ1048" s="9"/>
      <c r="AK1048" s="9"/>
      <c r="AL1048" s="9"/>
      <c r="AM1048" s="9"/>
      <c r="AN1048" s="9"/>
      <c r="AO1048" s="9"/>
      <c r="AP1048" s="9"/>
      <c r="AQ1048" s="9"/>
      <c r="AR1048" s="9"/>
      <c r="AS1048" s="9"/>
      <c r="AT1048" s="9"/>
      <c r="AU1048" s="9"/>
      <c r="AV1048" s="9"/>
      <c r="AW1048" s="9"/>
      <c r="AX1048" s="9"/>
      <c r="AY1048" s="9"/>
      <c r="AZ1048" s="9"/>
    </row>
    <row r="1049" spans="1:52">
      <c r="A1049" s="9"/>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c r="AD1049" s="9"/>
      <c r="AE1049" s="9"/>
      <c r="AF1049" s="9"/>
      <c r="AG1049" s="9"/>
      <c r="AH1049" s="9"/>
      <c r="AI1049" s="9"/>
      <c r="AJ1049" s="9"/>
      <c r="AK1049" s="9"/>
      <c r="AL1049" s="9"/>
      <c r="AM1049" s="9"/>
      <c r="AN1049" s="9"/>
      <c r="AO1049" s="9"/>
      <c r="AP1049" s="9"/>
      <c r="AQ1049" s="9"/>
      <c r="AR1049" s="9"/>
      <c r="AS1049" s="9"/>
      <c r="AT1049" s="9"/>
      <c r="AU1049" s="9"/>
      <c r="AV1049" s="9"/>
      <c r="AW1049" s="9"/>
      <c r="AX1049" s="9"/>
      <c r="AY1049" s="9"/>
      <c r="AZ1049" s="9"/>
    </row>
    <row r="1050" spans="1:52">
      <c r="A1050" s="9"/>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c r="AD1050" s="9"/>
      <c r="AE1050" s="9"/>
      <c r="AF1050" s="9"/>
      <c r="AG1050" s="9"/>
      <c r="AH1050" s="9"/>
      <c r="AI1050" s="9"/>
      <c r="AJ1050" s="9"/>
      <c r="AK1050" s="9"/>
      <c r="AL1050" s="9"/>
      <c r="AM1050" s="9"/>
      <c r="AN1050" s="9"/>
      <c r="AO1050" s="9"/>
      <c r="AP1050" s="9"/>
      <c r="AQ1050" s="9"/>
      <c r="AR1050" s="9"/>
      <c r="AS1050" s="9"/>
      <c r="AT1050" s="9"/>
      <c r="AU1050" s="9"/>
      <c r="AV1050" s="9"/>
      <c r="AW1050" s="9"/>
      <c r="AX1050" s="9"/>
      <c r="AY1050" s="9"/>
      <c r="AZ1050" s="9"/>
    </row>
    <row r="1051" spans="1:52">
      <c r="A1051" s="9"/>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c r="AD1051" s="9"/>
      <c r="AE1051" s="9"/>
      <c r="AF1051" s="9"/>
      <c r="AG1051" s="9"/>
      <c r="AH1051" s="9"/>
      <c r="AI1051" s="9"/>
      <c r="AJ1051" s="9"/>
      <c r="AK1051" s="9"/>
      <c r="AL1051" s="9"/>
      <c r="AM1051" s="9"/>
      <c r="AN1051" s="9"/>
      <c r="AO1051" s="9"/>
      <c r="AP1051" s="9"/>
      <c r="AQ1051" s="9"/>
      <c r="AR1051" s="9"/>
      <c r="AS1051" s="9"/>
      <c r="AT1051" s="9"/>
      <c r="AU1051" s="9"/>
      <c r="AV1051" s="9"/>
      <c r="AW1051" s="9"/>
      <c r="AX1051" s="9"/>
      <c r="AY1051" s="9"/>
      <c r="AZ1051" s="9"/>
    </row>
    <row r="1052" spans="1:52">
      <c r="A1052" s="9"/>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c r="AD1052" s="9"/>
      <c r="AE1052" s="9"/>
      <c r="AF1052" s="9"/>
      <c r="AG1052" s="9"/>
      <c r="AH1052" s="9"/>
      <c r="AI1052" s="9"/>
      <c r="AJ1052" s="9"/>
      <c r="AK1052" s="9"/>
      <c r="AL1052" s="9"/>
      <c r="AM1052" s="9"/>
      <c r="AN1052" s="9"/>
      <c r="AO1052" s="9"/>
      <c r="AP1052" s="9"/>
      <c r="AQ1052" s="9"/>
      <c r="AR1052" s="9"/>
      <c r="AS1052" s="9"/>
      <c r="AT1052" s="9"/>
      <c r="AU1052" s="9"/>
      <c r="AV1052" s="9"/>
      <c r="AW1052" s="9"/>
      <c r="AX1052" s="9"/>
      <c r="AY1052" s="9"/>
      <c r="AZ1052" s="9"/>
    </row>
    <row r="1053" spans="1:52">
      <c r="A1053" s="9"/>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c r="AD1053" s="9"/>
      <c r="AE1053" s="9"/>
      <c r="AF1053" s="9"/>
      <c r="AG1053" s="9"/>
      <c r="AH1053" s="9"/>
      <c r="AI1053" s="9"/>
      <c r="AJ1053" s="9"/>
      <c r="AK1053" s="9"/>
      <c r="AL1053" s="9"/>
      <c r="AM1053" s="9"/>
      <c r="AN1053" s="9"/>
      <c r="AO1053" s="9"/>
      <c r="AP1053" s="9"/>
      <c r="AQ1053" s="9"/>
      <c r="AR1053" s="9"/>
      <c r="AS1053" s="9"/>
      <c r="AT1053" s="9"/>
      <c r="AU1053" s="9"/>
      <c r="AV1053" s="9"/>
      <c r="AW1053" s="9"/>
      <c r="AX1053" s="9"/>
      <c r="AY1053" s="9"/>
      <c r="AZ1053" s="9"/>
    </row>
    <row r="1054" spans="1:52">
      <c r="A1054" s="9"/>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c r="AD1054" s="9"/>
      <c r="AE1054" s="9"/>
      <c r="AF1054" s="9"/>
      <c r="AG1054" s="9"/>
      <c r="AH1054" s="9"/>
      <c r="AI1054" s="9"/>
      <c r="AJ1054" s="9"/>
      <c r="AK1054" s="9"/>
      <c r="AL1054" s="9"/>
      <c r="AM1054" s="9"/>
      <c r="AN1054" s="9"/>
      <c r="AO1054" s="9"/>
      <c r="AP1054" s="9"/>
      <c r="AQ1054" s="9"/>
      <c r="AR1054" s="9"/>
      <c r="AS1054" s="9"/>
      <c r="AT1054" s="9"/>
      <c r="AU1054" s="9"/>
      <c r="AV1054" s="9"/>
      <c r="AW1054" s="9"/>
      <c r="AX1054" s="9"/>
      <c r="AY1054" s="9"/>
      <c r="AZ1054" s="9"/>
    </row>
    <row r="1055" spans="1:52">
      <c r="A1055" s="9"/>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c r="AD1055" s="9"/>
      <c r="AE1055" s="9"/>
      <c r="AF1055" s="9"/>
      <c r="AG1055" s="9"/>
      <c r="AH1055" s="9"/>
      <c r="AI1055" s="9"/>
      <c r="AJ1055" s="9"/>
      <c r="AK1055" s="9"/>
      <c r="AL1055" s="9"/>
      <c r="AM1055" s="9"/>
      <c r="AN1055" s="9"/>
      <c r="AO1055" s="9"/>
      <c r="AP1055" s="9"/>
      <c r="AQ1055" s="9"/>
      <c r="AR1055" s="9"/>
      <c r="AS1055" s="9"/>
      <c r="AT1055" s="9"/>
      <c r="AU1055" s="9"/>
      <c r="AV1055" s="9"/>
      <c r="AW1055" s="9"/>
      <c r="AX1055" s="9"/>
      <c r="AY1055" s="9"/>
      <c r="AZ1055" s="9"/>
    </row>
    <row r="1056" spans="1:52">
      <c r="A1056" s="9"/>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c r="AD1056" s="9"/>
      <c r="AE1056" s="9"/>
      <c r="AF1056" s="9"/>
      <c r="AG1056" s="9"/>
      <c r="AH1056" s="9"/>
      <c r="AI1056" s="9"/>
      <c r="AJ1056" s="9"/>
      <c r="AK1056" s="9"/>
      <c r="AL1056" s="9"/>
      <c r="AM1056" s="9"/>
      <c r="AN1056" s="9"/>
      <c r="AO1056" s="9"/>
      <c r="AP1056" s="9"/>
      <c r="AQ1056" s="9"/>
      <c r="AR1056" s="9"/>
      <c r="AS1056" s="9"/>
      <c r="AT1056" s="9"/>
      <c r="AU1056" s="9"/>
      <c r="AV1056" s="9"/>
      <c r="AW1056" s="9"/>
      <c r="AX1056" s="9"/>
      <c r="AY1056" s="9"/>
      <c r="AZ1056" s="9"/>
    </row>
    <row r="1057" spans="1:52">
      <c r="A1057" s="9"/>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c r="AD1057" s="9"/>
      <c r="AE1057" s="9"/>
      <c r="AF1057" s="9"/>
      <c r="AG1057" s="9"/>
      <c r="AH1057" s="9"/>
      <c r="AI1057" s="9"/>
      <c r="AJ1057" s="9"/>
      <c r="AK1057" s="9"/>
      <c r="AL1057" s="9"/>
      <c r="AM1057" s="9"/>
      <c r="AN1057" s="9"/>
      <c r="AO1057" s="9"/>
      <c r="AP1057" s="9"/>
      <c r="AQ1057" s="9"/>
      <c r="AR1057" s="9"/>
      <c r="AS1057" s="9"/>
      <c r="AT1057" s="9"/>
      <c r="AU1057" s="9"/>
      <c r="AV1057" s="9"/>
      <c r="AW1057" s="9"/>
      <c r="AX1057" s="9"/>
      <c r="AY1057" s="9"/>
      <c r="AZ1057" s="9"/>
    </row>
    <row r="1058" spans="1:52">
      <c r="A1058" s="9"/>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c r="AD1058" s="9"/>
      <c r="AE1058" s="9"/>
      <c r="AF1058" s="9"/>
      <c r="AG1058" s="9"/>
      <c r="AH1058" s="9"/>
      <c r="AI1058" s="9"/>
      <c r="AJ1058" s="9"/>
      <c r="AK1058" s="9"/>
      <c r="AL1058" s="9"/>
      <c r="AM1058" s="9"/>
      <c r="AN1058" s="9"/>
      <c r="AO1058" s="9"/>
      <c r="AP1058" s="9"/>
      <c r="AQ1058" s="9"/>
      <c r="AR1058" s="9"/>
      <c r="AS1058" s="9"/>
      <c r="AT1058" s="9"/>
      <c r="AU1058" s="9"/>
      <c r="AV1058" s="9"/>
      <c r="AW1058" s="9"/>
      <c r="AX1058" s="9"/>
      <c r="AY1058" s="9"/>
      <c r="AZ1058" s="9"/>
    </row>
    <row r="1059" spans="1:52">
      <c r="A1059" s="9"/>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c r="AD1059" s="9"/>
      <c r="AE1059" s="9"/>
      <c r="AF1059" s="9"/>
      <c r="AG1059" s="9"/>
      <c r="AH1059" s="9"/>
      <c r="AI1059" s="9"/>
      <c r="AJ1059" s="9"/>
      <c r="AK1059" s="9"/>
      <c r="AL1059" s="9"/>
      <c r="AM1059" s="9"/>
      <c r="AN1059" s="9"/>
      <c r="AO1059" s="9"/>
      <c r="AP1059" s="9"/>
      <c r="AQ1059" s="9"/>
      <c r="AR1059" s="9"/>
      <c r="AS1059" s="9"/>
      <c r="AT1059" s="9"/>
      <c r="AU1059" s="9"/>
      <c r="AV1059" s="9"/>
      <c r="AW1059" s="9"/>
      <c r="AX1059" s="9"/>
      <c r="AY1059" s="9"/>
      <c r="AZ1059" s="9"/>
    </row>
    <row r="1060" spans="1:52">
      <c r="A1060" s="9"/>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c r="AD1060" s="9"/>
      <c r="AE1060" s="9"/>
      <c r="AF1060" s="9"/>
      <c r="AG1060" s="9"/>
      <c r="AH1060" s="9"/>
      <c r="AI1060" s="9"/>
      <c r="AJ1060" s="9"/>
      <c r="AK1060" s="9"/>
      <c r="AL1060" s="9"/>
      <c r="AM1060" s="9"/>
      <c r="AN1060" s="9"/>
      <c r="AO1060" s="9"/>
      <c r="AP1060" s="9"/>
      <c r="AQ1060" s="9"/>
      <c r="AR1060" s="9"/>
      <c r="AS1060" s="9"/>
      <c r="AT1060" s="9"/>
      <c r="AU1060" s="9"/>
      <c r="AV1060" s="9"/>
      <c r="AW1060" s="9"/>
      <c r="AX1060" s="9"/>
      <c r="AY1060" s="9"/>
      <c r="AZ1060" s="9"/>
    </row>
    <row r="1061" spans="1:52">
      <c r="A1061" s="9"/>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c r="AD1061" s="9"/>
      <c r="AE1061" s="9"/>
      <c r="AF1061" s="9"/>
      <c r="AG1061" s="9"/>
      <c r="AH1061" s="9"/>
      <c r="AI1061" s="9"/>
      <c r="AJ1061" s="9"/>
      <c r="AK1061" s="9"/>
      <c r="AL1061" s="9"/>
      <c r="AM1061" s="9"/>
      <c r="AN1061" s="9"/>
      <c r="AO1061" s="9"/>
      <c r="AP1061" s="9"/>
      <c r="AQ1061" s="9"/>
      <c r="AR1061" s="9"/>
      <c r="AS1061" s="9"/>
      <c r="AT1061" s="9"/>
      <c r="AU1061" s="9"/>
      <c r="AV1061" s="9"/>
      <c r="AW1061" s="9"/>
      <c r="AX1061" s="9"/>
      <c r="AY1061" s="9"/>
      <c r="AZ1061" s="9"/>
    </row>
    <row r="1062" spans="1:52">
      <c r="A1062" s="9"/>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c r="AD1062" s="9"/>
      <c r="AE1062" s="9"/>
      <c r="AF1062" s="9"/>
      <c r="AG1062" s="9"/>
      <c r="AH1062" s="9"/>
      <c r="AI1062" s="9"/>
      <c r="AJ1062" s="9"/>
      <c r="AK1062" s="9"/>
      <c r="AL1062" s="9"/>
      <c r="AM1062" s="9"/>
      <c r="AN1062" s="9"/>
      <c r="AO1062" s="9"/>
      <c r="AP1062" s="9"/>
      <c r="AQ1062" s="9"/>
      <c r="AR1062" s="9"/>
      <c r="AS1062" s="9"/>
      <c r="AT1062" s="9"/>
      <c r="AU1062" s="9"/>
      <c r="AV1062" s="9"/>
      <c r="AW1062" s="9"/>
      <c r="AX1062" s="9"/>
      <c r="AY1062" s="9"/>
      <c r="AZ1062" s="9"/>
    </row>
    <row r="1063" spans="1:52">
      <c r="A1063" s="9"/>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c r="AD1063" s="9"/>
      <c r="AE1063" s="9"/>
      <c r="AF1063" s="9"/>
      <c r="AG1063" s="9"/>
      <c r="AH1063" s="9"/>
      <c r="AI1063" s="9"/>
      <c r="AJ1063" s="9"/>
      <c r="AK1063" s="9"/>
      <c r="AL1063" s="9"/>
      <c r="AM1063" s="9"/>
      <c r="AN1063" s="9"/>
      <c r="AO1063" s="9"/>
      <c r="AP1063" s="9"/>
      <c r="AQ1063" s="9"/>
      <c r="AR1063" s="9"/>
      <c r="AS1063" s="9"/>
      <c r="AT1063" s="9"/>
      <c r="AU1063" s="9"/>
      <c r="AV1063" s="9"/>
      <c r="AW1063" s="9"/>
      <c r="AX1063" s="9"/>
      <c r="AY1063" s="9"/>
      <c r="AZ1063" s="9"/>
    </row>
    <row r="1064" spans="1:52">
      <c r="A1064" s="9"/>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c r="AD1064" s="9"/>
      <c r="AE1064" s="9"/>
      <c r="AF1064" s="9"/>
      <c r="AG1064" s="9"/>
      <c r="AH1064" s="9"/>
      <c r="AI1064" s="9"/>
      <c r="AJ1064" s="9"/>
      <c r="AK1064" s="9"/>
      <c r="AL1064" s="9"/>
      <c r="AM1064" s="9"/>
      <c r="AN1064" s="9"/>
      <c r="AO1064" s="9"/>
      <c r="AP1064" s="9"/>
      <c r="AQ1064" s="9"/>
      <c r="AR1064" s="9"/>
      <c r="AS1064" s="9"/>
      <c r="AT1064" s="9"/>
      <c r="AU1064" s="9"/>
      <c r="AV1064" s="9"/>
      <c r="AW1064" s="9"/>
      <c r="AX1064" s="9"/>
      <c r="AY1064" s="9"/>
      <c r="AZ1064" s="9"/>
    </row>
    <row r="1065" spans="1:52">
      <c r="A1065" s="9"/>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c r="AD1065" s="9"/>
      <c r="AE1065" s="9"/>
      <c r="AF1065" s="9"/>
      <c r="AG1065" s="9"/>
      <c r="AH1065" s="9"/>
      <c r="AI1065" s="9"/>
      <c r="AJ1065" s="9"/>
      <c r="AK1065" s="9"/>
      <c r="AL1065" s="9"/>
      <c r="AM1065" s="9"/>
      <c r="AN1065" s="9"/>
      <c r="AO1065" s="9"/>
      <c r="AP1065" s="9"/>
      <c r="AQ1065" s="9"/>
      <c r="AR1065" s="9"/>
      <c r="AS1065" s="9"/>
      <c r="AT1065" s="9"/>
      <c r="AU1065" s="9"/>
      <c r="AV1065" s="9"/>
      <c r="AW1065" s="9"/>
      <c r="AX1065" s="9"/>
      <c r="AY1065" s="9"/>
      <c r="AZ1065" s="9"/>
    </row>
    <row r="1066" spans="1:52">
      <c r="A1066" s="9"/>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c r="AD1066" s="9"/>
      <c r="AE1066" s="9"/>
      <c r="AF1066" s="9"/>
      <c r="AG1066" s="9"/>
      <c r="AH1066" s="9"/>
      <c r="AI1066" s="9"/>
      <c r="AJ1066" s="9"/>
      <c r="AK1066" s="9"/>
      <c r="AL1066" s="9"/>
      <c r="AM1066" s="9"/>
      <c r="AN1066" s="9"/>
      <c r="AO1066" s="9"/>
      <c r="AP1066" s="9"/>
      <c r="AQ1066" s="9"/>
      <c r="AR1066" s="9"/>
      <c r="AS1066" s="9"/>
      <c r="AT1066" s="9"/>
      <c r="AU1066" s="9"/>
      <c r="AV1066" s="9"/>
      <c r="AW1066" s="9"/>
      <c r="AX1066" s="9"/>
      <c r="AY1066" s="9"/>
      <c r="AZ1066" s="9"/>
    </row>
    <row r="1067" spans="1:52">
      <c r="A1067" s="9"/>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c r="AD1067" s="9"/>
      <c r="AE1067" s="9"/>
      <c r="AF1067" s="9"/>
      <c r="AG1067" s="9"/>
      <c r="AH1067" s="9"/>
      <c r="AI1067" s="9"/>
      <c r="AJ1067" s="9"/>
      <c r="AK1067" s="9"/>
      <c r="AL1067" s="9"/>
      <c r="AM1067" s="9"/>
      <c r="AN1067" s="9"/>
      <c r="AO1067" s="9"/>
      <c r="AP1067" s="9"/>
      <c r="AQ1067" s="9"/>
      <c r="AR1067" s="9"/>
      <c r="AS1067" s="9"/>
      <c r="AT1067" s="9"/>
      <c r="AU1067" s="9"/>
      <c r="AV1067" s="9"/>
      <c r="AW1067" s="9"/>
      <c r="AX1067" s="9"/>
      <c r="AY1067" s="9"/>
      <c r="AZ1067" s="9"/>
    </row>
    <row r="1068" spans="1:52">
      <c r="A1068" s="9"/>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c r="AD1068" s="9"/>
      <c r="AE1068" s="9"/>
      <c r="AF1068" s="9"/>
      <c r="AG1068" s="9"/>
      <c r="AH1068" s="9"/>
      <c r="AI1068" s="9"/>
      <c r="AJ1068" s="9"/>
      <c r="AK1068" s="9"/>
      <c r="AL1068" s="9"/>
      <c r="AM1068" s="9"/>
      <c r="AN1068" s="9"/>
      <c r="AO1068" s="9"/>
      <c r="AP1068" s="9"/>
      <c r="AQ1068" s="9"/>
      <c r="AR1068" s="9"/>
      <c r="AS1068" s="9"/>
      <c r="AT1068" s="9"/>
      <c r="AU1068" s="9"/>
      <c r="AV1068" s="9"/>
      <c r="AW1068" s="9"/>
      <c r="AX1068" s="9"/>
      <c r="AY1068" s="9"/>
      <c r="AZ1068" s="9"/>
    </row>
    <row r="1069" spans="1:52">
      <c r="A1069" s="9"/>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c r="AD1069" s="9"/>
      <c r="AE1069" s="9"/>
      <c r="AF1069" s="9"/>
      <c r="AG1069" s="9"/>
      <c r="AH1069" s="9"/>
      <c r="AI1069" s="9"/>
      <c r="AJ1069" s="9"/>
      <c r="AK1069" s="9"/>
      <c r="AL1069" s="9"/>
      <c r="AM1069" s="9"/>
      <c r="AN1069" s="9"/>
      <c r="AO1069" s="9"/>
      <c r="AP1069" s="9"/>
      <c r="AQ1069" s="9"/>
      <c r="AR1069" s="9"/>
      <c r="AS1069" s="9"/>
      <c r="AT1069" s="9"/>
      <c r="AU1069" s="9"/>
      <c r="AV1069" s="9"/>
      <c r="AW1069" s="9"/>
      <c r="AX1069" s="9"/>
      <c r="AY1069" s="9"/>
      <c r="AZ1069" s="9"/>
    </row>
    <row r="1070" spans="1:52">
      <c r="A1070" s="9"/>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c r="AD1070" s="9"/>
      <c r="AE1070" s="9"/>
      <c r="AF1070" s="9"/>
      <c r="AG1070" s="9"/>
      <c r="AH1070" s="9"/>
      <c r="AI1070" s="9"/>
      <c r="AJ1070" s="9"/>
      <c r="AK1070" s="9"/>
      <c r="AL1070" s="9"/>
      <c r="AM1070" s="9"/>
      <c r="AN1070" s="9"/>
      <c r="AO1070" s="9"/>
      <c r="AP1070" s="9"/>
      <c r="AQ1070" s="9"/>
      <c r="AR1070" s="9"/>
      <c r="AS1070" s="9"/>
      <c r="AT1070" s="9"/>
      <c r="AU1070" s="9"/>
      <c r="AV1070" s="9"/>
      <c r="AW1070" s="9"/>
      <c r="AX1070" s="9"/>
      <c r="AY1070" s="9"/>
      <c r="AZ1070" s="9"/>
    </row>
    <row r="1071" spans="1:52">
      <c r="A1071" s="9"/>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c r="AD1071" s="9"/>
      <c r="AE1071" s="9"/>
      <c r="AF1071" s="9"/>
      <c r="AG1071" s="9"/>
      <c r="AH1071" s="9"/>
      <c r="AI1071" s="9"/>
      <c r="AJ1071" s="9"/>
      <c r="AK1071" s="9"/>
      <c r="AL1071" s="9"/>
      <c r="AM1071" s="9"/>
      <c r="AN1071" s="9"/>
      <c r="AO1071" s="9"/>
      <c r="AP1071" s="9"/>
      <c r="AQ1071" s="9"/>
      <c r="AR1071" s="9"/>
      <c r="AS1071" s="9"/>
      <c r="AT1071" s="9"/>
      <c r="AU1071" s="9"/>
      <c r="AV1071" s="9"/>
      <c r="AW1071" s="9"/>
      <c r="AX1071" s="9"/>
      <c r="AY1071" s="9"/>
      <c r="AZ1071" s="9"/>
    </row>
    <row r="1072" spans="1:52">
      <c r="A1072" s="9"/>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c r="AD1072" s="9"/>
      <c r="AE1072" s="9"/>
      <c r="AF1072" s="9"/>
      <c r="AG1072" s="9"/>
      <c r="AH1072" s="9"/>
      <c r="AI1072" s="9"/>
      <c r="AJ1072" s="9"/>
      <c r="AK1072" s="9"/>
      <c r="AL1072" s="9"/>
      <c r="AM1072" s="9"/>
      <c r="AN1072" s="9"/>
      <c r="AO1072" s="9"/>
      <c r="AP1072" s="9"/>
      <c r="AQ1072" s="9"/>
      <c r="AR1072" s="9"/>
      <c r="AS1072" s="9"/>
      <c r="AT1072" s="9"/>
      <c r="AU1072" s="9"/>
      <c r="AV1072" s="9"/>
      <c r="AW1072" s="9"/>
      <c r="AX1072" s="9"/>
      <c r="AY1072" s="9"/>
      <c r="AZ1072" s="9"/>
    </row>
    <row r="1073" spans="1:52">
      <c r="A1073" s="9"/>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c r="AD1073" s="9"/>
      <c r="AE1073" s="9"/>
      <c r="AF1073" s="9"/>
      <c r="AG1073" s="9"/>
      <c r="AH1073" s="9"/>
      <c r="AI1073" s="9"/>
      <c r="AJ1073" s="9"/>
      <c r="AK1073" s="9"/>
      <c r="AL1073" s="9"/>
      <c r="AM1073" s="9"/>
      <c r="AN1073" s="9"/>
      <c r="AO1073" s="9"/>
      <c r="AP1073" s="9"/>
      <c r="AQ1073" s="9"/>
      <c r="AR1073" s="9"/>
      <c r="AS1073" s="9"/>
      <c r="AT1073" s="9"/>
      <c r="AU1073" s="9"/>
      <c r="AV1073" s="9"/>
      <c r="AW1073" s="9"/>
      <c r="AX1073" s="9"/>
      <c r="AY1073" s="9"/>
      <c r="AZ1073" s="9"/>
    </row>
    <row r="1074" spans="1:52">
      <c r="A1074" s="9"/>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c r="AD1074" s="9"/>
      <c r="AE1074" s="9"/>
      <c r="AF1074" s="9"/>
      <c r="AG1074" s="9"/>
      <c r="AH1074" s="9"/>
      <c r="AI1074" s="9"/>
      <c r="AJ1074" s="9"/>
      <c r="AK1074" s="9"/>
      <c r="AL1074" s="9"/>
      <c r="AM1074" s="9"/>
      <c r="AN1074" s="9"/>
      <c r="AO1074" s="9"/>
      <c r="AP1074" s="9"/>
      <c r="AQ1074" s="9"/>
      <c r="AR1074" s="9"/>
      <c r="AS1074" s="9"/>
      <c r="AT1074" s="9"/>
      <c r="AU1074" s="9"/>
      <c r="AV1074" s="9"/>
      <c r="AW1074" s="9"/>
      <c r="AX1074" s="9"/>
      <c r="AY1074" s="9"/>
      <c r="AZ1074" s="9"/>
    </row>
    <row r="1075" spans="1:52">
      <c r="A1075" s="9"/>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row>
    <row r="1076" spans="1:52">
      <c r="A1076" s="9"/>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row>
    <row r="1077" spans="1:52">
      <c r="A1077" s="9"/>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row>
    <row r="1078" spans="1:52">
      <c r="A1078" s="9"/>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c r="AD1078" s="9"/>
      <c r="AE1078" s="9"/>
      <c r="AF1078" s="9"/>
      <c r="AG1078" s="9"/>
      <c r="AH1078" s="9"/>
      <c r="AI1078" s="9"/>
      <c r="AJ1078" s="9"/>
      <c r="AK1078" s="9"/>
      <c r="AL1078" s="9"/>
      <c r="AM1078" s="9"/>
      <c r="AN1078" s="9"/>
      <c r="AO1078" s="9"/>
      <c r="AP1078" s="9"/>
      <c r="AQ1078" s="9"/>
      <c r="AR1078" s="9"/>
      <c r="AS1078" s="9"/>
      <c r="AT1078" s="9"/>
      <c r="AU1078" s="9"/>
      <c r="AV1078" s="9"/>
      <c r="AW1078" s="9"/>
      <c r="AX1078" s="9"/>
      <c r="AY1078" s="9"/>
      <c r="AZ1078" s="9"/>
    </row>
    <row r="1079" spans="1:52">
      <c r="A1079" s="9"/>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c r="AD1079" s="9"/>
      <c r="AE1079" s="9"/>
      <c r="AF1079" s="9"/>
      <c r="AG1079" s="9"/>
      <c r="AH1079" s="9"/>
      <c r="AI1079" s="9"/>
      <c r="AJ1079" s="9"/>
      <c r="AK1079" s="9"/>
      <c r="AL1079" s="9"/>
      <c r="AM1079" s="9"/>
      <c r="AN1079" s="9"/>
      <c r="AO1079" s="9"/>
      <c r="AP1079" s="9"/>
      <c r="AQ1079" s="9"/>
      <c r="AR1079" s="9"/>
      <c r="AS1079" s="9"/>
      <c r="AT1079" s="9"/>
      <c r="AU1079" s="9"/>
      <c r="AV1079" s="9"/>
      <c r="AW1079" s="9"/>
      <c r="AX1079" s="9"/>
      <c r="AY1079" s="9"/>
      <c r="AZ1079" s="9"/>
    </row>
    <row r="1080" spans="1:52">
      <c r="A1080" s="9"/>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c r="AD1080" s="9"/>
      <c r="AE1080" s="9"/>
      <c r="AF1080" s="9"/>
      <c r="AG1080" s="9"/>
      <c r="AH1080" s="9"/>
      <c r="AI1080" s="9"/>
      <c r="AJ1080" s="9"/>
      <c r="AK1080" s="9"/>
      <c r="AL1080" s="9"/>
      <c r="AM1080" s="9"/>
      <c r="AN1080" s="9"/>
      <c r="AO1080" s="9"/>
      <c r="AP1080" s="9"/>
      <c r="AQ1080" s="9"/>
      <c r="AR1080" s="9"/>
      <c r="AS1080" s="9"/>
      <c r="AT1080" s="9"/>
      <c r="AU1080" s="9"/>
      <c r="AV1080" s="9"/>
      <c r="AW1080" s="9"/>
      <c r="AX1080" s="9"/>
      <c r="AY1080" s="9"/>
      <c r="AZ1080" s="9"/>
    </row>
    <row r="1081" spans="1:52">
      <c r="A1081" s="9"/>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c r="AD1081" s="9"/>
      <c r="AE1081" s="9"/>
      <c r="AF1081" s="9"/>
      <c r="AG1081" s="9"/>
      <c r="AH1081" s="9"/>
      <c r="AI1081" s="9"/>
      <c r="AJ1081" s="9"/>
      <c r="AK1081" s="9"/>
      <c r="AL1081" s="9"/>
      <c r="AM1081" s="9"/>
      <c r="AN1081" s="9"/>
      <c r="AO1081" s="9"/>
      <c r="AP1081" s="9"/>
      <c r="AQ1081" s="9"/>
      <c r="AR1081" s="9"/>
      <c r="AS1081" s="9"/>
      <c r="AT1081" s="9"/>
      <c r="AU1081" s="9"/>
      <c r="AV1081" s="9"/>
      <c r="AW1081" s="9"/>
      <c r="AX1081" s="9"/>
      <c r="AY1081" s="9"/>
      <c r="AZ1081" s="9"/>
    </row>
    <row r="1082" spans="1:52">
      <c r="A1082" s="9"/>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c r="AD1082" s="9"/>
      <c r="AE1082" s="9"/>
      <c r="AF1082" s="9"/>
      <c r="AG1082" s="9"/>
      <c r="AH1082" s="9"/>
      <c r="AI1082" s="9"/>
      <c r="AJ1082" s="9"/>
      <c r="AK1082" s="9"/>
      <c r="AL1082" s="9"/>
      <c r="AM1082" s="9"/>
      <c r="AN1082" s="9"/>
      <c r="AO1082" s="9"/>
      <c r="AP1082" s="9"/>
      <c r="AQ1082" s="9"/>
      <c r="AR1082" s="9"/>
      <c r="AS1082" s="9"/>
      <c r="AT1082" s="9"/>
      <c r="AU1082" s="9"/>
      <c r="AV1082" s="9"/>
      <c r="AW1082" s="9"/>
      <c r="AX1082" s="9"/>
      <c r="AY1082" s="9"/>
      <c r="AZ1082" s="9"/>
    </row>
    <row r="1083" spans="1:52">
      <c r="A1083" s="9"/>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c r="AD1083" s="9"/>
      <c r="AE1083" s="9"/>
      <c r="AF1083" s="9"/>
      <c r="AG1083" s="9"/>
      <c r="AH1083" s="9"/>
      <c r="AI1083" s="9"/>
      <c r="AJ1083" s="9"/>
      <c r="AK1083" s="9"/>
      <c r="AL1083" s="9"/>
      <c r="AM1083" s="9"/>
      <c r="AN1083" s="9"/>
      <c r="AO1083" s="9"/>
      <c r="AP1083" s="9"/>
      <c r="AQ1083" s="9"/>
      <c r="AR1083" s="9"/>
      <c r="AS1083" s="9"/>
      <c r="AT1083" s="9"/>
      <c r="AU1083" s="9"/>
      <c r="AV1083" s="9"/>
      <c r="AW1083" s="9"/>
      <c r="AX1083" s="9"/>
      <c r="AY1083" s="9"/>
      <c r="AZ1083" s="9"/>
    </row>
    <row r="1084" spans="1:52">
      <c r="A1084" s="9"/>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c r="AD1084" s="9"/>
      <c r="AE1084" s="9"/>
      <c r="AF1084" s="9"/>
      <c r="AG1084" s="9"/>
      <c r="AH1084" s="9"/>
      <c r="AI1084" s="9"/>
      <c r="AJ1084" s="9"/>
      <c r="AK1084" s="9"/>
      <c r="AL1084" s="9"/>
      <c r="AM1084" s="9"/>
      <c r="AN1084" s="9"/>
      <c r="AO1084" s="9"/>
      <c r="AP1084" s="9"/>
      <c r="AQ1084" s="9"/>
      <c r="AR1084" s="9"/>
      <c r="AS1084" s="9"/>
      <c r="AT1084" s="9"/>
      <c r="AU1084" s="9"/>
      <c r="AV1084" s="9"/>
      <c r="AW1084" s="9"/>
      <c r="AX1084" s="9"/>
      <c r="AY1084" s="9"/>
      <c r="AZ1084" s="9"/>
    </row>
    <row r="1085" spans="1:52">
      <c r="A1085" s="9"/>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c r="AD1085" s="9"/>
      <c r="AE1085" s="9"/>
      <c r="AF1085" s="9"/>
      <c r="AG1085" s="9"/>
      <c r="AH1085" s="9"/>
      <c r="AI1085" s="9"/>
      <c r="AJ1085" s="9"/>
      <c r="AK1085" s="9"/>
      <c r="AL1085" s="9"/>
      <c r="AM1085" s="9"/>
      <c r="AN1085" s="9"/>
      <c r="AO1085" s="9"/>
      <c r="AP1085" s="9"/>
      <c r="AQ1085" s="9"/>
      <c r="AR1085" s="9"/>
      <c r="AS1085" s="9"/>
      <c r="AT1085" s="9"/>
      <c r="AU1085" s="9"/>
      <c r="AV1085" s="9"/>
      <c r="AW1085" s="9"/>
      <c r="AX1085" s="9"/>
      <c r="AY1085" s="9"/>
      <c r="AZ1085" s="9"/>
    </row>
    <row r="1086" spans="1:52">
      <c r="A1086" s="9"/>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c r="AD1086" s="9"/>
      <c r="AE1086" s="9"/>
      <c r="AF1086" s="9"/>
      <c r="AG1086" s="9"/>
      <c r="AH1086" s="9"/>
      <c r="AI1086" s="9"/>
      <c r="AJ1086" s="9"/>
      <c r="AK1086" s="9"/>
      <c r="AL1086" s="9"/>
      <c r="AM1086" s="9"/>
      <c r="AN1086" s="9"/>
      <c r="AO1086" s="9"/>
      <c r="AP1086" s="9"/>
      <c r="AQ1086" s="9"/>
      <c r="AR1086" s="9"/>
      <c r="AS1086" s="9"/>
      <c r="AT1086" s="9"/>
      <c r="AU1086" s="9"/>
      <c r="AV1086" s="9"/>
      <c r="AW1086" s="9"/>
      <c r="AX1086" s="9"/>
      <c r="AY1086" s="9"/>
      <c r="AZ1086" s="9"/>
    </row>
    <row r="1087" spans="1:52">
      <c r="A1087" s="9"/>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c r="AD1087" s="9"/>
      <c r="AE1087" s="9"/>
      <c r="AF1087" s="9"/>
      <c r="AG1087" s="9"/>
      <c r="AH1087" s="9"/>
      <c r="AI1087" s="9"/>
      <c r="AJ1087" s="9"/>
      <c r="AK1087" s="9"/>
      <c r="AL1087" s="9"/>
      <c r="AM1087" s="9"/>
      <c r="AN1087" s="9"/>
      <c r="AO1087" s="9"/>
      <c r="AP1087" s="9"/>
      <c r="AQ1087" s="9"/>
      <c r="AR1087" s="9"/>
      <c r="AS1087" s="9"/>
      <c r="AT1087" s="9"/>
      <c r="AU1087" s="9"/>
      <c r="AV1087" s="9"/>
      <c r="AW1087" s="9"/>
      <c r="AX1087" s="9"/>
      <c r="AY1087" s="9"/>
      <c r="AZ1087" s="9"/>
    </row>
    <row r="1088" spans="1:52">
      <c r="A1088" s="9"/>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c r="AD1088" s="9"/>
      <c r="AE1088" s="9"/>
      <c r="AF1088" s="9"/>
      <c r="AG1088" s="9"/>
      <c r="AH1088" s="9"/>
      <c r="AI1088" s="9"/>
      <c r="AJ1088" s="9"/>
      <c r="AK1088" s="9"/>
      <c r="AL1088" s="9"/>
      <c r="AM1088" s="9"/>
      <c r="AN1088" s="9"/>
      <c r="AO1088" s="9"/>
      <c r="AP1088" s="9"/>
      <c r="AQ1088" s="9"/>
      <c r="AR1088" s="9"/>
      <c r="AS1088" s="9"/>
      <c r="AT1088" s="9"/>
      <c r="AU1088" s="9"/>
      <c r="AV1088" s="9"/>
      <c r="AW1088" s="9"/>
      <c r="AX1088" s="9"/>
      <c r="AY1088" s="9"/>
      <c r="AZ1088" s="9"/>
    </row>
    <row r="1089" spans="1:52">
      <c r="A1089" s="9"/>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c r="AD1089" s="9"/>
      <c r="AE1089" s="9"/>
      <c r="AF1089" s="9"/>
      <c r="AG1089" s="9"/>
      <c r="AH1089" s="9"/>
      <c r="AI1089" s="9"/>
      <c r="AJ1089" s="9"/>
      <c r="AK1089" s="9"/>
      <c r="AL1089" s="9"/>
      <c r="AM1089" s="9"/>
      <c r="AN1089" s="9"/>
      <c r="AO1089" s="9"/>
      <c r="AP1089" s="9"/>
      <c r="AQ1089" s="9"/>
      <c r="AR1089" s="9"/>
      <c r="AS1089" s="9"/>
      <c r="AT1089" s="9"/>
      <c r="AU1089" s="9"/>
      <c r="AV1089" s="9"/>
      <c r="AW1089" s="9"/>
      <c r="AX1089" s="9"/>
      <c r="AY1089" s="9"/>
      <c r="AZ1089" s="9"/>
    </row>
    <row r="1090" spans="1:52">
      <c r="A1090" s="9"/>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c r="AD1090" s="9"/>
      <c r="AE1090" s="9"/>
      <c r="AF1090" s="9"/>
      <c r="AG1090" s="9"/>
      <c r="AH1090" s="9"/>
      <c r="AI1090" s="9"/>
      <c r="AJ1090" s="9"/>
      <c r="AK1090" s="9"/>
      <c r="AL1090" s="9"/>
      <c r="AM1090" s="9"/>
      <c r="AN1090" s="9"/>
      <c r="AO1090" s="9"/>
      <c r="AP1090" s="9"/>
      <c r="AQ1090" s="9"/>
      <c r="AR1090" s="9"/>
      <c r="AS1090" s="9"/>
      <c r="AT1090" s="9"/>
      <c r="AU1090" s="9"/>
      <c r="AV1090" s="9"/>
      <c r="AW1090" s="9"/>
      <c r="AX1090" s="9"/>
      <c r="AY1090" s="9"/>
      <c r="AZ1090" s="9"/>
    </row>
    <row r="1091" spans="1:52">
      <c r="A1091" s="9"/>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c r="AD1091" s="9"/>
      <c r="AE1091" s="9"/>
      <c r="AF1091" s="9"/>
      <c r="AG1091" s="9"/>
      <c r="AH1091" s="9"/>
      <c r="AI1091" s="9"/>
      <c r="AJ1091" s="9"/>
      <c r="AK1091" s="9"/>
      <c r="AL1091" s="9"/>
      <c r="AM1091" s="9"/>
      <c r="AN1091" s="9"/>
      <c r="AO1091" s="9"/>
      <c r="AP1091" s="9"/>
      <c r="AQ1091" s="9"/>
      <c r="AR1091" s="9"/>
      <c r="AS1091" s="9"/>
      <c r="AT1091" s="9"/>
      <c r="AU1091" s="9"/>
      <c r="AV1091" s="9"/>
      <c r="AW1091" s="9"/>
      <c r="AX1091" s="9"/>
      <c r="AY1091" s="9"/>
      <c r="AZ1091" s="9"/>
    </row>
    <row r="1092" spans="1:52">
      <c r="A1092" s="9"/>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c r="AD1092" s="9"/>
      <c r="AE1092" s="9"/>
      <c r="AF1092" s="9"/>
      <c r="AG1092" s="9"/>
      <c r="AH1092" s="9"/>
      <c r="AI1092" s="9"/>
      <c r="AJ1092" s="9"/>
      <c r="AK1092" s="9"/>
      <c r="AL1092" s="9"/>
      <c r="AM1092" s="9"/>
      <c r="AN1092" s="9"/>
      <c r="AO1092" s="9"/>
      <c r="AP1092" s="9"/>
      <c r="AQ1092" s="9"/>
      <c r="AR1092" s="9"/>
      <c r="AS1092" s="9"/>
      <c r="AT1092" s="9"/>
      <c r="AU1092" s="9"/>
      <c r="AV1092" s="9"/>
      <c r="AW1092" s="9"/>
      <c r="AX1092" s="9"/>
      <c r="AY1092" s="9"/>
      <c r="AZ1092" s="9"/>
    </row>
    <row r="1093" spans="1:52">
      <c r="A1093" s="9"/>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c r="AD1093" s="9"/>
      <c r="AE1093" s="9"/>
      <c r="AF1093" s="9"/>
      <c r="AG1093" s="9"/>
      <c r="AH1093" s="9"/>
      <c r="AI1093" s="9"/>
      <c r="AJ1093" s="9"/>
      <c r="AK1093" s="9"/>
      <c r="AL1093" s="9"/>
      <c r="AM1093" s="9"/>
      <c r="AN1093" s="9"/>
      <c r="AO1093" s="9"/>
      <c r="AP1093" s="9"/>
      <c r="AQ1093" s="9"/>
      <c r="AR1093" s="9"/>
      <c r="AS1093" s="9"/>
      <c r="AT1093" s="9"/>
      <c r="AU1093" s="9"/>
      <c r="AV1093" s="9"/>
      <c r="AW1093" s="9"/>
      <c r="AX1093" s="9"/>
      <c r="AY1093" s="9"/>
      <c r="AZ1093" s="9"/>
    </row>
    <row r="1094" spans="1:52">
      <c r="A1094" s="9"/>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c r="AD1094" s="9"/>
      <c r="AE1094" s="9"/>
      <c r="AF1094" s="9"/>
      <c r="AG1094" s="9"/>
      <c r="AH1094" s="9"/>
      <c r="AI1094" s="9"/>
      <c r="AJ1094" s="9"/>
      <c r="AK1094" s="9"/>
      <c r="AL1094" s="9"/>
      <c r="AM1094" s="9"/>
      <c r="AN1094" s="9"/>
      <c r="AO1094" s="9"/>
      <c r="AP1094" s="9"/>
      <c r="AQ1094" s="9"/>
      <c r="AR1094" s="9"/>
      <c r="AS1094" s="9"/>
      <c r="AT1094" s="9"/>
      <c r="AU1094" s="9"/>
      <c r="AV1094" s="9"/>
      <c r="AW1094" s="9"/>
      <c r="AX1094" s="9"/>
      <c r="AY1094" s="9"/>
      <c r="AZ1094" s="9"/>
    </row>
    <row r="1095" spans="1:52">
      <c r="A1095" s="9"/>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c r="AD1095" s="9"/>
      <c r="AE1095" s="9"/>
      <c r="AF1095" s="9"/>
      <c r="AG1095" s="9"/>
      <c r="AH1095" s="9"/>
      <c r="AI1095" s="9"/>
      <c r="AJ1095" s="9"/>
      <c r="AK1095" s="9"/>
      <c r="AL1095" s="9"/>
      <c r="AM1095" s="9"/>
      <c r="AN1095" s="9"/>
      <c r="AO1095" s="9"/>
      <c r="AP1095" s="9"/>
      <c r="AQ1095" s="9"/>
      <c r="AR1095" s="9"/>
      <c r="AS1095" s="9"/>
      <c r="AT1095" s="9"/>
      <c r="AU1095" s="9"/>
      <c r="AV1095" s="9"/>
      <c r="AW1095" s="9"/>
      <c r="AX1095" s="9"/>
      <c r="AY1095" s="9"/>
      <c r="AZ1095" s="9"/>
    </row>
    <row r="1096" spans="1:52">
      <c r="A1096" s="9"/>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c r="AD1096" s="9"/>
      <c r="AE1096" s="9"/>
      <c r="AF1096" s="9"/>
      <c r="AG1096" s="9"/>
      <c r="AH1096" s="9"/>
      <c r="AI1096" s="9"/>
      <c r="AJ1096" s="9"/>
      <c r="AK1096" s="9"/>
      <c r="AL1096" s="9"/>
      <c r="AM1096" s="9"/>
      <c r="AN1096" s="9"/>
      <c r="AO1096" s="9"/>
      <c r="AP1096" s="9"/>
      <c r="AQ1096" s="9"/>
      <c r="AR1096" s="9"/>
      <c r="AS1096" s="9"/>
      <c r="AT1096" s="9"/>
      <c r="AU1096" s="9"/>
      <c r="AV1096" s="9"/>
      <c r="AW1096" s="9"/>
      <c r="AX1096" s="9"/>
      <c r="AY1096" s="9"/>
      <c r="AZ1096" s="9"/>
    </row>
    <row r="1097" spans="1:52">
      <c r="A1097" s="9"/>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c r="AS1097" s="9"/>
      <c r="AT1097" s="9"/>
      <c r="AU1097" s="9"/>
      <c r="AV1097" s="9"/>
      <c r="AW1097" s="9"/>
      <c r="AX1097" s="9"/>
      <c r="AY1097" s="9"/>
      <c r="AZ1097" s="9"/>
    </row>
    <row r="1098" spans="1:52">
      <c r="A1098" s="9"/>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c r="AS1098" s="9"/>
      <c r="AT1098" s="9"/>
      <c r="AU1098" s="9"/>
      <c r="AV1098" s="9"/>
      <c r="AW1098" s="9"/>
      <c r="AX1098" s="9"/>
      <c r="AY1098" s="9"/>
      <c r="AZ1098" s="9"/>
    </row>
    <row r="1099" spans="1:52">
      <c r="A1099" s="9"/>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c r="AS1099" s="9"/>
      <c r="AT1099" s="9"/>
      <c r="AU1099" s="9"/>
      <c r="AV1099" s="9"/>
      <c r="AW1099" s="9"/>
      <c r="AX1099" s="9"/>
      <c r="AY1099" s="9"/>
      <c r="AZ1099" s="9"/>
    </row>
    <row r="1100" spans="1:52">
      <c r="A1100" s="9"/>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c r="AS1100" s="9"/>
      <c r="AT1100" s="9"/>
      <c r="AU1100" s="9"/>
      <c r="AV1100" s="9"/>
      <c r="AW1100" s="9"/>
      <c r="AX1100" s="9"/>
      <c r="AY1100" s="9"/>
      <c r="AZ1100" s="9"/>
    </row>
    <row r="1101" spans="1:52">
      <c r="A1101" s="9"/>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c r="AS1101" s="9"/>
      <c r="AT1101" s="9"/>
      <c r="AU1101" s="9"/>
      <c r="AV1101" s="9"/>
      <c r="AW1101" s="9"/>
      <c r="AX1101" s="9"/>
      <c r="AY1101" s="9"/>
      <c r="AZ1101" s="9"/>
    </row>
    <row r="1102" spans="1:52">
      <c r="A1102" s="9"/>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c r="AS1102" s="9"/>
      <c r="AT1102" s="9"/>
      <c r="AU1102" s="9"/>
      <c r="AV1102" s="9"/>
      <c r="AW1102" s="9"/>
      <c r="AX1102" s="9"/>
      <c r="AY1102" s="9"/>
      <c r="AZ1102" s="9"/>
    </row>
    <row r="1103" spans="1:52">
      <c r="A1103" s="9"/>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c r="AS1103" s="9"/>
      <c r="AT1103" s="9"/>
      <c r="AU1103" s="9"/>
      <c r="AV1103" s="9"/>
      <c r="AW1103" s="9"/>
      <c r="AX1103" s="9"/>
      <c r="AY1103" s="9"/>
      <c r="AZ1103" s="9"/>
    </row>
    <row r="1104" spans="1:52">
      <c r="A1104" s="9"/>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c r="AS1104" s="9"/>
      <c r="AT1104" s="9"/>
      <c r="AU1104" s="9"/>
      <c r="AV1104" s="9"/>
      <c r="AW1104" s="9"/>
      <c r="AX1104" s="9"/>
      <c r="AY1104" s="9"/>
      <c r="AZ1104" s="9"/>
    </row>
    <row r="1105" spans="1:52">
      <c r="A1105" s="9"/>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c r="AS1105" s="9"/>
      <c r="AT1105" s="9"/>
      <c r="AU1105" s="9"/>
      <c r="AV1105" s="9"/>
      <c r="AW1105" s="9"/>
      <c r="AX1105" s="9"/>
      <c r="AY1105" s="9"/>
      <c r="AZ1105" s="9"/>
    </row>
    <row r="1106" spans="1:52">
      <c r="A1106" s="9"/>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c r="AS1106" s="9"/>
      <c r="AT1106" s="9"/>
      <c r="AU1106" s="9"/>
      <c r="AV1106" s="9"/>
      <c r="AW1106" s="9"/>
      <c r="AX1106" s="9"/>
      <c r="AY1106" s="9"/>
      <c r="AZ1106" s="9"/>
    </row>
    <row r="1107" spans="1:52">
      <c r="A1107" s="9"/>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c r="AS1107" s="9"/>
      <c r="AT1107" s="9"/>
      <c r="AU1107" s="9"/>
      <c r="AV1107" s="9"/>
      <c r="AW1107" s="9"/>
      <c r="AX1107" s="9"/>
      <c r="AY1107" s="9"/>
      <c r="AZ1107" s="9"/>
    </row>
    <row r="1108" spans="1:52">
      <c r="A1108" s="9"/>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c r="AS1108" s="9"/>
      <c r="AT1108" s="9"/>
      <c r="AU1108" s="9"/>
      <c r="AV1108" s="9"/>
      <c r="AW1108" s="9"/>
      <c r="AX1108" s="9"/>
      <c r="AY1108" s="9"/>
      <c r="AZ1108" s="9"/>
    </row>
    <row r="1109" spans="1:52">
      <c r="A1109" s="9"/>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c r="AS1109" s="9"/>
      <c r="AT1109" s="9"/>
      <c r="AU1109" s="9"/>
      <c r="AV1109" s="9"/>
      <c r="AW1109" s="9"/>
      <c r="AX1109" s="9"/>
      <c r="AY1109" s="9"/>
      <c r="AZ1109" s="9"/>
    </row>
    <row r="1110" spans="1:52">
      <c r="A1110" s="9"/>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c r="AS1110" s="9"/>
      <c r="AT1110" s="9"/>
      <c r="AU1110" s="9"/>
      <c r="AV1110" s="9"/>
      <c r="AW1110" s="9"/>
      <c r="AX1110" s="9"/>
      <c r="AY1110" s="9"/>
      <c r="AZ1110" s="9"/>
    </row>
    <row r="1111" spans="1:52">
      <c r="A1111" s="9"/>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c r="AS1111" s="9"/>
      <c r="AT1111" s="9"/>
      <c r="AU1111" s="9"/>
      <c r="AV1111" s="9"/>
      <c r="AW1111" s="9"/>
      <c r="AX1111" s="9"/>
      <c r="AY1111" s="9"/>
      <c r="AZ1111" s="9"/>
    </row>
    <row r="1112" spans="1:52">
      <c r="A1112" s="9"/>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c r="AS1112" s="9"/>
      <c r="AT1112" s="9"/>
      <c r="AU1112" s="9"/>
      <c r="AV1112" s="9"/>
      <c r="AW1112" s="9"/>
      <c r="AX1112" s="9"/>
      <c r="AY1112" s="9"/>
      <c r="AZ1112" s="9"/>
    </row>
    <row r="1113" spans="1:52">
      <c r="A1113" s="9"/>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c r="AS1113" s="9"/>
      <c r="AT1113" s="9"/>
      <c r="AU1113" s="9"/>
      <c r="AV1113" s="9"/>
      <c r="AW1113" s="9"/>
      <c r="AX1113" s="9"/>
      <c r="AY1113" s="9"/>
      <c r="AZ1113" s="9"/>
    </row>
    <row r="1114" spans="1:52">
      <c r="A1114" s="9"/>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c r="AS1114" s="9"/>
      <c r="AT1114" s="9"/>
      <c r="AU1114" s="9"/>
      <c r="AV1114" s="9"/>
      <c r="AW1114" s="9"/>
      <c r="AX1114" s="9"/>
      <c r="AY1114" s="9"/>
      <c r="AZ1114" s="9"/>
    </row>
    <row r="1115" spans="1:52">
      <c r="A1115" s="9"/>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c r="AS1115" s="9"/>
      <c r="AT1115" s="9"/>
      <c r="AU1115" s="9"/>
      <c r="AV1115" s="9"/>
      <c r="AW1115" s="9"/>
      <c r="AX1115" s="9"/>
      <c r="AY1115" s="9"/>
      <c r="AZ1115" s="9"/>
    </row>
    <row r="1116" spans="1:52">
      <c r="A1116" s="9"/>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c r="AS1116" s="9"/>
      <c r="AT1116" s="9"/>
      <c r="AU1116" s="9"/>
      <c r="AV1116" s="9"/>
      <c r="AW1116" s="9"/>
      <c r="AX1116" s="9"/>
      <c r="AY1116" s="9"/>
      <c r="AZ1116" s="9"/>
    </row>
    <row r="1117" spans="1:52">
      <c r="A1117" s="9"/>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c r="AS1117" s="9"/>
      <c r="AT1117" s="9"/>
      <c r="AU1117" s="9"/>
      <c r="AV1117" s="9"/>
      <c r="AW1117" s="9"/>
      <c r="AX1117" s="9"/>
      <c r="AY1117" s="9"/>
      <c r="AZ1117" s="9"/>
    </row>
    <row r="1118" spans="1:52">
      <c r="A1118" s="9"/>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c r="AS1118" s="9"/>
      <c r="AT1118" s="9"/>
      <c r="AU1118" s="9"/>
      <c r="AV1118" s="9"/>
      <c r="AW1118" s="9"/>
      <c r="AX1118" s="9"/>
      <c r="AY1118" s="9"/>
      <c r="AZ1118" s="9"/>
    </row>
    <row r="1119" spans="1:52">
      <c r="A1119" s="9"/>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c r="AS1119" s="9"/>
      <c r="AT1119" s="9"/>
      <c r="AU1119" s="9"/>
      <c r="AV1119" s="9"/>
      <c r="AW1119" s="9"/>
      <c r="AX1119" s="9"/>
      <c r="AY1119" s="9"/>
      <c r="AZ1119" s="9"/>
    </row>
    <row r="1120" spans="1:52">
      <c r="A1120" s="9"/>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c r="AS1120" s="9"/>
      <c r="AT1120" s="9"/>
      <c r="AU1120" s="9"/>
      <c r="AV1120" s="9"/>
      <c r="AW1120" s="9"/>
      <c r="AX1120" s="9"/>
      <c r="AY1120" s="9"/>
      <c r="AZ1120" s="9"/>
    </row>
    <row r="1121" spans="1:52">
      <c r="A1121" s="9"/>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c r="AS1121" s="9"/>
      <c r="AT1121" s="9"/>
      <c r="AU1121" s="9"/>
      <c r="AV1121" s="9"/>
      <c r="AW1121" s="9"/>
      <c r="AX1121" s="9"/>
      <c r="AY1121" s="9"/>
      <c r="AZ1121" s="9"/>
    </row>
    <row r="1122" spans="1:52">
      <c r="A1122" s="9"/>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c r="AS1122" s="9"/>
      <c r="AT1122" s="9"/>
      <c r="AU1122" s="9"/>
      <c r="AV1122" s="9"/>
      <c r="AW1122" s="9"/>
      <c r="AX1122" s="9"/>
      <c r="AY1122" s="9"/>
      <c r="AZ1122" s="9"/>
    </row>
    <row r="1123" spans="1:52">
      <c r="A1123" s="9"/>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c r="AS1123" s="9"/>
      <c r="AT1123" s="9"/>
      <c r="AU1123" s="9"/>
      <c r="AV1123" s="9"/>
      <c r="AW1123" s="9"/>
      <c r="AX1123" s="9"/>
      <c r="AY1123" s="9"/>
      <c r="AZ1123" s="9"/>
    </row>
    <row r="1124" spans="1:52">
      <c r="A1124" s="9"/>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c r="AS1124" s="9"/>
      <c r="AT1124" s="9"/>
      <c r="AU1124" s="9"/>
      <c r="AV1124" s="9"/>
      <c r="AW1124" s="9"/>
      <c r="AX1124" s="9"/>
      <c r="AY1124" s="9"/>
      <c r="AZ1124" s="9"/>
    </row>
    <row r="1125" spans="1:52">
      <c r="A1125" s="9"/>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c r="AS1125" s="9"/>
      <c r="AT1125" s="9"/>
      <c r="AU1125" s="9"/>
      <c r="AV1125" s="9"/>
      <c r="AW1125" s="9"/>
      <c r="AX1125" s="9"/>
      <c r="AY1125" s="9"/>
      <c r="AZ1125" s="9"/>
    </row>
    <row r="1126" spans="1:52">
      <c r="A1126" s="9"/>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c r="AS1126" s="9"/>
      <c r="AT1126" s="9"/>
      <c r="AU1126" s="9"/>
      <c r="AV1126" s="9"/>
      <c r="AW1126" s="9"/>
      <c r="AX1126" s="9"/>
      <c r="AY1126" s="9"/>
      <c r="AZ1126" s="9"/>
    </row>
    <row r="1127" spans="1:52">
      <c r="A1127" s="9"/>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c r="AS1127" s="9"/>
      <c r="AT1127" s="9"/>
      <c r="AU1127" s="9"/>
      <c r="AV1127" s="9"/>
      <c r="AW1127" s="9"/>
      <c r="AX1127" s="9"/>
      <c r="AY1127" s="9"/>
      <c r="AZ1127" s="9"/>
    </row>
    <row r="1128" spans="1:52">
      <c r="A1128" s="9"/>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c r="AS1128" s="9"/>
      <c r="AT1128" s="9"/>
      <c r="AU1128" s="9"/>
      <c r="AV1128" s="9"/>
      <c r="AW1128" s="9"/>
      <c r="AX1128" s="9"/>
      <c r="AY1128" s="9"/>
      <c r="AZ1128" s="9"/>
    </row>
    <row r="1129" spans="1:52">
      <c r="A1129" s="9"/>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c r="AS1129" s="9"/>
      <c r="AT1129" s="9"/>
      <c r="AU1129" s="9"/>
      <c r="AV1129" s="9"/>
      <c r="AW1129" s="9"/>
      <c r="AX1129" s="9"/>
      <c r="AY1129" s="9"/>
      <c r="AZ1129" s="9"/>
    </row>
    <row r="1130" spans="1:52">
      <c r="A1130" s="9"/>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c r="AS1130" s="9"/>
      <c r="AT1130" s="9"/>
      <c r="AU1130" s="9"/>
      <c r="AV1130" s="9"/>
      <c r="AW1130" s="9"/>
      <c r="AX1130" s="9"/>
      <c r="AY1130" s="9"/>
      <c r="AZ1130" s="9"/>
    </row>
    <row r="1131" spans="1:52">
      <c r="A1131" s="9"/>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c r="AS1131" s="9"/>
      <c r="AT1131" s="9"/>
      <c r="AU1131" s="9"/>
      <c r="AV1131" s="9"/>
      <c r="AW1131" s="9"/>
      <c r="AX1131" s="9"/>
      <c r="AY1131" s="9"/>
      <c r="AZ1131" s="9"/>
    </row>
    <row r="1132" spans="1:52">
      <c r="A1132" s="9"/>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c r="AS1132" s="9"/>
      <c r="AT1132" s="9"/>
      <c r="AU1132" s="9"/>
      <c r="AV1132" s="9"/>
      <c r="AW1132" s="9"/>
      <c r="AX1132" s="9"/>
      <c r="AY1132" s="9"/>
      <c r="AZ1132" s="9"/>
    </row>
    <row r="1133" spans="1:52">
      <c r="A1133" s="9"/>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c r="AS1133" s="9"/>
      <c r="AT1133" s="9"/>
      <c r="AU1133" s="9"/>
      <c r="AV1133" s="9"/>
      <c r="AW1133" s="9"/>
      <c r="AX1133" s="9"/>
      <c r="AY1133" s="9"/>
      <c r="AZ1133" s="9"/>
    </row>
    <row r="1134" spans="1:52">
      <c r="A1134" s="9"/>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c r="AS1134" s="9"/>
      <c r="AT1134" s="9"/>
      <c r="AU1134" s="9"/>
      <c r="AV1134" s="9"/>
      <c r="AW1134" s="9"/>
      <c r="AX1134" s="9"/>
      <c r="AY1134" s="9"/>
      <c r="AZ1134" s="9"/>
    </row>
    <row r="1135" spans="1:52">
      <c r="A1135" s="9"/>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c r="AS1135" s="9"/>
      <c r="AT1135" s="9"/>
      <c r="AU1135" s="9"/>
      <c r="AV1135" s="9"/>
      <c r="AW1135" s="9"/>
      <c r="AX1135" s="9"/>
      <c r="AY1135" s="9"/>
      <c r="AZ1135" s="9"/>
    </row>
    <row r="1136" spans="1:52">
      <c r="A1136" s="9"/>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c r="AS1136" s="9"/>
      <c r="AT1136" s="9"/>
      <c r="AU1136" s="9"/>
      <c r="AV1136" s="9"/>
      <c r="AW1136" s="9"/>
      <c r="AX1136" s="9"/>
      <c r="AY1136" s="9"/>
      <c r="AZ1136" s="9"/>
    </row>
    <row r="1137" spans="1:52">
      <c r="A1137" s="9"/>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c r="AS1137" s="9"/>
      <c r="AT1137" s="9"/>
      <c r="AU1137" s="9"/>
      <c r="AV1137" s="9"/>
      <c r="AW1137" s="9"/>
      <c r="AX1137" s="9"/>
      <c r="AY1137" s="9"/>
      <c r="AZ1137" s="9"/>
    </row>
    <row r="1138" spans="1:52">
      <c r="A1138" s="9"/>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c r="AS1138" s="9"/>
      <c r="AT1138" s="9"/>
      <c r="AU1138" s="9"/>
      <c r="AV1138" s="9"/>
      <c r="AW1138" s="9"/>
      <c r="AX1138" s="9"/>
      <c r="AY1138" s="9"/>
      <c r="AZ1138" s="9"/>
    </row>
    <row r="1139" spans="1:52">
      <c r="A1139" s="9"/>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c r="AS1139" s="9"/>
      <c r="AT1139" s="9"/>
      <c r="AU1139" s="9"/>
      <c r="AV1139" s="9"/>
      <c r="AW1139" s="9"/>
      <c r="AX1139" s="9"/>
      <c r="AY1139" s="9"/>
      <c r="AZ1139" s="9"/>
    </row>
    <row r="1140" spans="1:52">
      <c r="A1140" s="9"/>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c r="AS1140" s="9"/>
      <c r="AT1140" s="9"/>
      <c r="AU1140" s="9"/>
      <c r="AV1140" s="9"/>
      <c r="AW1140" s="9"/>
      <c r="AX1140" s="9"/>
      <c r="AY1140" s="9"/>
      <c r="AZ1140" s="9"/>
    </row>
    <row r="1141" spans="1:52">
      <c r="A1141" s="9"/>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c r="AS1141" s="9"/>
      <c r="AT1141" s="9"/>
      <c r="AU1141" s="9"/>
      <c r="AV1141" s="9"/>
      <c r="AW1141" s="9"/>
      <c r="AX1141" s="9"/>
      <c r="AY1141" s="9"/>
      <c r="AZ1141" s="9"/>
    </row>
    <row r="1142" spans="1:52">
      <c r="A1142" s="9"/>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c r="AS1142" s="9"/>
      <c r="AT1142" s="9"/>
      <c r="AU1142" s="9"/>
      <c r="AV1142" s="9"/>
      <c r="AW1142" s="9"/>
      <c r="AX1142" s="9"/>
      <c r="AY1142" s="9"/>
      <c r="AZ1142" s="9"/>
    </row>
    <row r="1143" spans="1:52">
      <c r="A1143" s="9"/>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c r="AS1143" s="9"/>
      <c r="AT1143" s="9"/>
      <c r="AU1143" s="9"/>
      <c r="AV1143" s="9"/>
      <c r="AW1143" s="9"/>
      <c r="AX1143" s="9"/>
      <c r="AY1143" s="9"/>
      <c r="AZ1143" s="9"/>
    </row>
    <row r="1144" spans="1:52">
      <c r="A1144" s="9"/>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c r="AS1144" s="9"/>
      <c r="AT1144" s="9"/>
      <c r="AU1144" s="9"/>
      <c r="AV1144" s="9"/>
      <c r="AW1144" s="9"/>
      <c r="AX1144" s="9"/>
      <c r="AY1144" s="9"/>
      <c r="AZ1144" s="9"/>
    </row>
    <row r="1145" spans="1:52">
      <c r="A1145" s="9"/>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c r="AS1145" s="9"/>
      <c r="AT1145" s="9"/>
      <c r="AU1145" s="9"/>
      <c r="AV1145" s="9"/>
      <c r="AW1145" s="9"/>
      <c r="AX1145" s="9"/>
      <c r="AY1145" s="9"/>
      <c r="AZ1145" s="9"/>
    </row>
    <row r="1146" spans="1:52">
      <c r="A1146" s="9"/>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c r="AS1146" s="9"/>
      <c r="AT1146" s="9"/>
      <c r="AU1146" s="9"/>
      <c r="AV1146" s="9"/>
      <c r="AW1146" s="9"/>
      <c r="AX1146" s="9"/>
      <c r="AY1146" s="9"/>
      <c r="AZ1146" s="9"/>
    </row>
    <row r="1147" spans="1:52">
      <c r="A1147" s="9"/>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c r="AS1147" s="9"/>
      <c r="AT1147" s="9"/>
      <c r="AU1147" s="9"/>
      <c r="AV1147" s="9"/>
      <c r="AW1147" s="9"/>
      <c r="AX1147" s="9"/>
      <c r="AY1147" s="9"/>
      <c r="AZ1147" s="9"/>
    </row>
    <row r="1148" spans="1:52">
      <c r="A1148" s="9"/>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c r="AS1148" s="9"/>
      <c r="AT1148" s="9"/>
      <c r="AU1148" s="9"/>
      <c r="AV1148" s="9"/>
      <c r="AW1148" s="9"/>
      <c r="AX1148" s="9"/>
      <c r="AY1148" s="9"/>
      <c r="AZ1148" s="9"/>
    </row>
    <row r="1149" spans="1:52">
      <c r="A1149" s="9"/>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c r="AS1149" s="9"/>
      <c r="AT1149" s="9"/>
      <c r="AU1149" s="9"/>
      <c r="AV1149" s="9"/>
      <c r="AW1149" s="9"/>
      <c r="AX1149" s="9"/>
      <c r="AY1149" s="9"/>
      <c r="AZ1149" s="9"/>
    </row>
    <row r="1150" spans="1:52">
      <c r="A1150" s="9"/>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c r="AS1150" s="9"/>
      <c r="AT1150" s="9"/>
      <c r="AU1150" s="9"/>
      <c r="AV1150" s="9"/>
      <c r="AW1150" s="9"/>
      <c r="AX1150" s="9"/>
      <c r="AY1150" s="9"/>
      <c r="AZ1150" s="9"/>
    </row>
    <row r="1151" spans="1:52">
      <c r="A1151" s="9"/>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c r="AS1151" s="9"/>
      <c r="AT1151" s="9"/>
      <c r="AU1151" s="9"/>
      <c r="AV1151" s="9"/>
      <c r="AW1151" s="9"/>
      <c r="AX1151" s="9"/>
      <c r="AY1151" s="9"/>
      <c r="AZ1151" s="9"/>
    </row>
    <row r="1152" spans="1:52">
      <c r="A1152" s="9"/>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c r="AS1152" s="9"/>
      <c r="AT1152" s="9"/>
      <c r="AU1152" s="9"/>
      <c r="AV1152" s="9"/>
      <c r="AW1152" s="9"/>
      <c r="AX1152" s="9"/>
      <c r="AY1152" s="9"/>
      <c r="AZ1152" s="9"/>
    </row>
    <row r="1153" spans="1:52">
      <c r="A1153" s="9"/>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c r="AS1153" s="9"/>
      <c r="AT1153" s="9"/>
      <c r="AU1153" s="9"/>
      <c r="AV1153" s="9"/>
      <c r="AW1153" s="9"/>
      <c r="AX1153" s="9"/>
      <c r="AY1153" s="9"/>
      <c r="AZ1153" s="9"/>
    </row>
    <row r="1154" spans="1:52">
      <c r="A1154" s="9"/>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c r="AS1154" s="9"/>
      <c r="AT1154" s="9"/>
      <c r="AU1154" s="9"/>
      <c r="AV1154" s="9"/>
      <c r="AW1154" s="9"/>
      <c r="AX1154" s="9"/>
      <c r="AY1154" s="9"/>
      <c r="AZ1154" s="9"/>
    </row>
    <row r="1155" spans="1:52">
      <c r="A1155" s="9"/>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c r="AS1155" s="9"/>
      <c r="AT1155" s="9"/>
      <c r="AU1155" s="9"/>
      <c r="AV1155" s="9"/>
      <c r="AW1155" s="9"/>
      <c r="AX1155" s="9"/>
      <c r="AY1155" s="9"/>
      <c r="AZ1155" s="9"/>
    </row>
    <row r="1156" spans="1:52">
      <c r="A1156" s="9"/>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c r="AS1156" s="9"/>
      <c r="AT1156" s="9"/>
      <c r="AU1156" s="9"/>
      <c r="AV1156" s="9"/>
      <c r="AW1156" s="9"/>
      <c r="AX1156" s="9"/>
      <c r="AY1156" s="9"/>
      <c r="AZ1156" s="9"/>
    </row>
    <row r="1157" spans="1:52">
      <c r="A1157" s="9"/>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c r="AS1157" s="9"/>
      <c r="AT1157" s="9"/>
      <c r="AU1157" s="9"/>
      <c r="AV1157" s="9"/>
      <c r="AW1157" s="9"/>
      <c r="AX1157" s="9"/>
      <c r="AY1157" s="9"/>
      <c r="AZ1157" s="9"/>
    </row>
    <row r="1158" spans="1:52">
      <c r="A1158" s="9"/>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c r="AS1158" s="9"/>
      <c r="AT1158" s="9"/>
      <c r="AU1158" s="9"/>
      <c r="AV1158" s="9"/>
      <c r="AW1158" s="9"/>
      <c r="AX1158" s="9"/>
      <c r="AY1158" s="9"/>
      <c r="AZ1158" s="9"/>
    </row>
    <row r="1159" spans="1:52">
      <c r="A1159" s="9"/>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c r="AS1159" s="9"/>
      <c r="AT1159" s="9"/>
      <c r="AU1159" s="9"/>
      <c r="AV1159" s="9"/>
      <c r="AW1159" s="9"/>
      <c r="AX1159" s="9"/>
      <c r="AY1159" s="9"/>
      <c r="AZ1159" s="9"/>
    </row>
    <row r="1160" spans="1:52">
      <c r="A1160" s="9"/>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c r="AS1160" s="9"/>
      <c r="AT1160" s="9"/>
      <c r="AU1160" s="9"/>
      <c r="AV1160" s="9"/>
      <c r="AW1160" s="9"/>
      <c r="AX1160" s="9"/>
      <c r="AY1160" s="9"/>
      <c r="AZ1160" s="9"/>
    </row>
    <row r="1161" spans="1:52">
      <c r="A1161" s="9"/>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c r="AS1161" s="9"/>
      <c r="AT1161" s="9"/>
      <c r="AU1161" s="9"/>
      <c r="AV1161" s="9"/>
      <c r="AW1161" s="9"/>
      <c r="AX1161" s="9"/>
      <c r="AY1161" s="9"/>
      <c r="AZ1161" s="9"/>
    </row>
    <row r="1162" spans="1:52">
      <c r="A1162" s="9"/>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c r="AS1162" s="9"/>
      <c r="AT1162" s="9"/>
      <c r="AU1162" s="9"/>
      <c r="AV1162" s="9"/>
      <c r="AW1162" s="9"/>
      <c r="AX1162" s="9"/>
      <c r="AY1162" s="9"/>
      <c r="AZ1162" s="9"/>
    </row>
    <row r="1163" spans="1:52">
      <c r="A1163" s="9"/>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c r="AS1163" s="9"/>
      <c r="AT1163" s="9"/>
      <c r="AU1163" s="9"/>
      <c r="AV1163" s="9"/>
      <c r="AW1163" s="9"/>
      <c r="AX1163" s="9"/>
      <c r="AY1163" s="9"/>
      <c r="AZ1163" s="9"/>
    </row>
    <row r="1164" spans="1:52">
      <c r="A1164" s="9"/>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c r="AS1164" s="9"/>
      <c r="AT1164" s="9"/>
      <c r="AU1164" s="9"/>
      <c r="AV1164" s="9"/>
      <c r="AW1164" s="9"/>
      <c r="AX1164" s="9"/>
      <c r="AY1164" s="9"/>
      <c r="AZ1164" s="9"/>
    </row>
    <row r="1165" spans="1:52">
      <c r="A1165" s="9"/>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c r="AS1165" s="9"/>
      <c r="AT1165" s="9"/>
      <c r="AU1165" s="9"/>
      <c r="AV1165" s="9"/>
      <c r="AW1165" s="9"/>
      <c r="AX1165" s="9"/>
      <c r="AY1165" s="9"/>
      <c r="AZ1165" s="9"/>
    </row>
    <row r="1166" spans="1:52">
      <c r="A1166" s="9"/>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c r="AS1166" s="9"/>
      <c r="AT1166" s="9"/>
      <c r="AU1166" s="9"/>
      <c r="AV1166" s="9"/>
      <c r="AW1166" s="9"/>
      <c r="AX1166" s="9"/>
      <c r="AY1166" s="9"/>
      <c r="AZ1166" s="9"/>
    </row>
    <row r="1167" spans="1:52">
      <c r="A1167" s="9"/>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c r="AS1167" s="9"/>
      <c r="AT1167" s="9"/>
      <c r="AU1167" s="9"/>
      <c r="AV1167" s="9"/>
      <c r="AW1167" s="9"/>
      <c r="AX1167" s="9"/>
      <c r="AY1167" s="9"/>
      <c r="AZ1167" s="9"/>
    </row>
    <row r="1168" spans="1:52">
      <c r="A1168" s="9"/>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c r="AS1168" s="9"/>
      <c r="AT1168" s="9"/>
      <c r="AU1168" s="9"/>
      <c r="AV1168" s="9"/>
      <c r="AW1168" s="9"/>
      <c r="AX1168" s="9"/>
      <c r="AY1168" s="9"/>
      <c r="AZ1168" s="9"/>
    </row>
    <row r="1169" spans="1:52">
      <c r="A1169" s="9"/>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c r="AS1169" s="9"/>
      <c r="AT1169" s="9"/>
      <c r="AU1169" s="9"/>
      <c r="AV1169" s="9"/>
      <c r="AW1169" s="9"/>
      <c r="AX1169" s="9"/>
      <c r="AY1169" s="9"/>
      <c r="AZ1169" s="9"/>
    </row>
    <row r="1170" spans="1:52">
      <c r="A1170" s="9"/>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c r="AS1170" s="9"/>
      <c r="AT1170" s="9"/>
      <c r="AU1170" s="9"/>
      <c r="AV1170" s="9"/>
      <c r="AW1170" s="9"/>
      <c r="AX1170" s="9"/>
      <c r="AY1170" s="9"/>
      <c r="AZ1170" s="9"/>
    </row>
    <row r="1171" spans="1:52">
      <c r="A1171" s="9"/>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c r="AS1171" s="9"/>
      <c r="AT1171" s="9"/>
      <c r="AU1171" s="9"/>
      <c r="AV1171" s="9"/>
      <c r="AW1171" s="9"/>
      <c r="AX1171" s="9"/>
      <c r="AY1171" s="9"/>
      <c r="AZ1171" s="9"/>
    </row>
    <row r="1172" spans="1:52">
      <c r="A1172" s="9"/>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c r="AS1172" s="9"/>
      <c r="AT1172" s="9"/>
      <c r="AU1172" s="9"/>
      <c r="AV1172" s="9"/>
      <c r="AW1172" s="9"/>
      <c r="AX1172" s="9"/>
      <c r="AY1172" s="9"/>
      <c r="AZ1172" s="9"/>
    </row>
    <row r="1173" spans="1:52">
      <c r="A1173" s="9"/>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c r="AS1173" s="9"/>
      <c r="AT1173" s="9"/>
      <c r="AU1173" s="9"/>
      <c r="AV1173" s="9"/>
      <c r="AW1173" s="9"/>
      <c r="AX1173" s="9"/>
      <c r="AY1173" s="9"/>
      <c r="AZ1173" s="9"/>
    </row>
    <row r="1174" spans="1:52">
      <c r="A1174" s="9"/>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c r="AS1174" s="9"/>
      <c r="AT1174" s="9"/>
      <c r="AU1174" s="9"/>
      <c r="AV1174" s="9"/>
      <c r="AW1174" s="9"/>
      <c r="AX1174" s="9"/>
      <c r="AY1174" s="9"/>
      <c r="AZ1174" s="9"/>
    </row>
    <row r="1175" spans="1:52">
      <c r="A1175" s="9"/>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c r="AS1175" s="9"/>
      <c r="AT1175" s="9"/>
      <c r="AU1175" s="9"/>
      <c r="AV1175" s="9"/>
      <c r="AW1175" s="9"/>
      <c r="AX1175" s="9"/>
      <c r="AY1175" s="9"/>
      <c r="AZ1175" s="9"/>
    </row>
    <row r="1176" spans="1:52">
      <c r="A1176" s="9"/>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c r="AS1176" s="9"/>
      <c r="AT1176" s="9"/>
      <c r="AU1176" s="9"/>
      <c r="AV1176" s="9"/>
      <c r="AW1176" s="9"/>
      <c r="AX1176" s="9"/>
      <c r="AY1176" s="9"/>
      <c r="AZ1176" s="9"/>
    </row>
    <row r="1177" spans="1:52">
      <c r="A1177" s="9"/>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c r="AS1177" s="9"/>
      <c r="AT1177" s="9"/>
      <c r="AU1177" s="9"/>
      <c r="AV1177" s="9"/>
      <c r="AW1177" s="9"/>
      <c r="AX1177" s="9"/>
      <c r="AY1177" s="9"/>
      <c r="AZ1177" s="9"/>
    </row>
    <row r="1178" spans="1:52">
      <c r="A1178" s="9"/>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c r="AS1178" s="9"/>
      <c r="AT1178" s="9"/>
      <c r="AU1178" s="9"/>
      <c r="AV1178" s="9"/>
      <c r="AW1178" s="9"/>
      <c r="AX1178" s="9"/>
      <c r="AY1178" s="9"/>
      <c r="AZ1178" s="9"/>
    </row>
    <row r="1179" spans="1:52">
      <c r="A1179" s="9"/>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c r="AS1179" s="9"/>
      <c r="AT1179" s="9"/>
      <c r="AU1179" s="9"/>
      <c r="AV1179" s="9"/>
      <c r="AW1179" s="9"/>
      <c r="AX1179" s="9"/>
      <c r="AY1179" s="9"/>
      <c r="AZ1179" s="9"/>
    </row>
    <row r="1180" spans="1:52">
      <c r="A1180" s="9"/>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c r="AD1180" s="9"/>
      <c r="AE1180" s="9"/>
      <c r="AF1180" s="9"/>
      <c r="AG1180" s="9"/>
      <c r="AH1180" s="9"/>
      <c r="AI1180" s="9"/>
      <c r="AJ1180" s="9"/>
      <c r="AK1180" s="9"/>
      <c r="AL1180" s="9"/>
      <c r="AM1180" s="9"/>
      <c r="AN1180" s="9"/>
      <c r="AO1180" s="9"/>
      <c r="AP1180" s="9"/>
      <c r="AQ1180" s="9"/>
      <c r="AR1180" s="9"/>
      <c r="AS1180" s="9"/>
      <c r="AT1180" s="9"/>
      <c r="AU1180" s="9"/>
      <c r="AV1180" s="9"/>
      <c r="AW1180" s="9"/>
      <c r="AX1180" s="9"/>
      <c r="AY1180" s="9"/>
      <c r="AZ1180" s="9"/>
    </row>
    <row r="1181" spans="1:52">
      <c r="A1181" s="9"/>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c r="AD1181" s="9"/>
      <c r="AE1181" s="9"/>
      <c r="AF1181" s="9"/>
      <c r="AG1181" s="9"/>
      <c r="AH1181" s="9"/>
      <c r="AI1181" s="9"/>
      <c r="AJ1181" s="9"/>
      <c r="AK1181" s="9"/>
      <c r="AL1181" s="9"/>
      <c r="AM1181" s="9"/>
      <c r="AN1181" s="9"/>
      <c r="AO1181" s="9"/>
      <c r="AP1181" s="9"/>
      <c r="AQ1181" s="9"/>
      <c r="AR1181" s="9"/>
      <c r="AS1181" s="9"/>
      <c r="AT1181" s="9"/>
      <c r="AU1181" s="9"/>
      <c r="AV1181" s="9"/>
      <c r="AW1181" s="9"/>
      <c r="AX1181" s="9"/>
      <c r="AY1181" s="9"/>
      <c r="AZ1181" s="9"/>
    </row>
    <row r="1182" spans="1:52">
      <c r="A1182" s="9"/>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c r="AD1182" s="9"/>
      <c r="AE1182" s="9"/>
      <c r="AF1182" s="9"/>
      <c r="AG1182" s="9"/>
      <c r="AH1182" s="9"/>
      <c r="AI1182" s="9"/>
      <c r="AJ1182" s="9"/>
      <c r="AK1182" s="9"/>
      <c r="AL1182" s="9"/>
      <c r="AM1182" s="9"/>
      <c r="AN1182" s="9"/>
      <c r="AO1182" s="9"/>
      <c r="AP1182" s="9"/>
      <c r="AQ1182" s="9"/>
      <c r="AR1182" s="9"/>
      <c r="AS1182" s="9"/>
      <c r="AT1182" s="9"/>
      <c r="AU1182" s="9"/>
      <c r="AV1182" s="9"/>
      <c r="AW1182" s="9"/>
      <c r="AX1182" s="9"/>
      <c r="AY1182" s="9"/>
      <c r="AZ1182" s="9"/>
    </row>
    <row r="1183" spans="1:52">
      <c r="A1183" s="9"/>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c r="AD1183" s="9"/>
      <c r="AE1183" s="9"/>
      <c r="AF1183" s="9"/>
      <c r="AG1183" s="9"/>
      <c r="AH1183" s="9"/>
      <c r="AI1183" s="9"/>
      <c r="AJ1183" s="9"/>
      <c r="AK1183" s="9"/>
      <c r="AL1183" s="9"/>
      <c r="AM1183" s="9"/>
      <c r="AN1183" s="9"/>
      <c r="AO1183" s="9"/>
      <c r="AP1183" s="9"/>
      <c r="AQ1183" s="9"/>
      <c r="AR1183" s="9"/>
      <c r="AS1183" s="9"/>
      <c r="AT1183" s="9"/>
      <c r="AU1183" s="9"/>
      <c r="AV1183" s="9"/>
      <c r="AW1183" s="9"/>
      <c r="AX1183" s="9"/>
      <c r="AY1183" s="9"/>
      <c r="AZ1183" s="9"/>
    </row>
    <row r="1184" spans="1:52">
      <c r="A1184" s="9"/>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c r="AD1184" s="9"/>
      <c r="AE1184" s="9"/>
      <c r="AF1184" s="9"/>
      <c r="AG1184" s="9"/>
      <c r="AH1184" s="9"/>
      <c r="AI1184" s="9"/>
      <c r="AJ1184" s="9"/>
      <c r="AK1184" s="9"/>
      <c r="AL1184" s="9"/>
      <c r="AM1184" s="9"/>
      <c r="AN1184" s="9"/>
      <c r="AO1184" s="9"/>
      <c r="AP1184" s="9"/>
      <c r="AQ1184" s="9"/>
      <c r="AR1184" s="9"/>
      <c r="AS1184" s="9"/>
      <c r="AT1184" s="9"/>
      <c r="AU1184" s="9"/>
      <c r="AV1184" s="9"/>
      <c r="AW1184" s="9"/>
      <c r="AX1184" s="9"/>
      <c r="AY1184" s="9"/>
      <c r="AZ1184" s="9"/>
    </row>
    <row r="1185" spans="1:52">
      <c r="A1185" s="9"/>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c r="AD1185" s="9"/>
      <c r="AE1185" s="9"/>
      <c r="AF1185" s="9"/>
      <c r="AG1185" s="9"/>
      <c r="AH1185" s="9"/>
      <c r="AI1185" s="9"/>
      <c r="AJ1185" s="9"/>
      <c r="AK1185" s="9"/>
      <c r="AL1185" s="9"/>
      <c r="AM1185" s="9"/>
      <c r="AN1185" s="9"/>
      <c r="AO1185" s="9"/>
      <c r="AP1185" s="9"/>
      <c r="AQ1185" s="9"/>
      <c r="AR1185" s="9"/>
      <c r="AS1185" s="9"/>
      <c r="AT1185" s="9"/>
      <c r="AU1185" s="9"/>
      <c r="AV1185" s="9"/>
      <c r="AW1185" s="9"/>
      <c r="AX1185" s="9"/>
      <c r="AY1185" s="9"/>
      <c r="AZ1185" s="9"/>
    </row>
    <row r="1186" spans="1:52">
      <c r="A1186" s="9"/>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c r="AD1186" s="9"/>
      <c r="AE1186" s="9"/>
      <c r="AF1186" s="9"/>
      <c r="AG1186" s="9"/>
      <c r="AH1186" s="9"/>
      <c r="AI1186" s="9"/>
      <c r="AJ1186" s="9"/>
      <c r="AK1186" s="9"/>
      <c r="AL1186" s="9"/>
      <c r="AM1186" s="9"/>
      <c r="AN1186" s="9"/>
      <c r="AO1186" s="9"/>
      <c r="AP1186" s="9"/>
      <c r="AQ1186" s="9"/>
      <c r="AR1186" s="9"/>
      <c r="AS1186" s="9"/>
      <c r="AT1186" s="9"/>
      <c r="AU1186" s="9"/>
      <c r="AV1186" s="9"/>
      <c r="AW1186" s="9"/>
      <c r="AX1186" s="9"/>
      <c r="AY1186" s="9"/>
      <c r="AZ1186" s="9"/>
    </row>
    <row r="1187" spans="1:52">
      <c r="A1187" s="9"/>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c r="AD1187" s="9"/>
      <c r="AE1187" s="9"/>
      <c r="AF1187" s="9"/>
      <c r="AG1187" s="9"/>
      <c r="AH1187" s="9"/>
      <c r="AI1187" s="9"/>
      <c r="AJ1187" s="9"/>
      <c r="AK1187" s="9"/>
      <c r="AL1187" s="9"/>
      <c r="AM1187" s="9"/>
      <c r="AN1187" s="9"/>
      <c r="AO1187" s="9"/>
      <c r="AP1187" s="9"/>
      <c r="AQ1187" s="9"/>
      <c r="AR1187" s="9"/>
      <c r="AS1187" s="9"/>
      <c r="AT1187" s="9"/>
      <c r="AU1187" s="9"/>
      <c r="AV1187" s="9"/>
      <c r="AW1187" s="9"/>
      <c r="AX1187" s="9"/>
      <c r="AY1187" s="9"/>
      <c r="AZ1187" s="9"/>
    </row>
    <row r="1188" spans="1:52">
      <c r="A1188" s="9"/>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c r="AD1188" s="9"/>
      <c r="AE1188" s="9"/>
      <c r="AF1188" s="9"/>
      <c r="AG1188" s="9"/>
      <c r="AH1188" s="9"/>
      <c r="AI1188" s="9"/>
      <c r="AJ1188" s="9"/>
      <c r="AK1188" s="9"/>
      <c r="AL1188" s="9"/>
      <c r="AM1188" s="9"/>
      <c r="AN1188" s="9"/>
      <c r="AO1188" s="9"/>
      <c r="AP1188" s="9"/>
      <c r="AQ1188" s="9"/>
      <c r="AR1188" s="9"/>
      <c r="AS1188" s="9"/>
      <c r="AT1188" s="9"/>
      <c r="AU1188" s="9"/>
      <c r="AV1188" s="9"/>
      <c r="AW1188" s="9"/>
      <c r="AX1188" s="9"/>
      <c r="AY1188" s="9"/>
      <c r="AZ1188" s="9"/>
    </row>
    <row r="1189" spans="1:52">
      <c r="A1189" s="9"/>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c r="AD1189" s="9"/>
      <c r="AE1189" s="9"/>
      <c r="AF1189" s="9"/>
      <c r="AG1189" s="9"/>
      <c r="AH1189" s="9"/>
      <c r="AI1189" s="9"/>
      <c r="AJ1189" s="9"/>
      <c r="AK1189" s="9"/>
      <c r="AL1189" s="9"/>
      <c r="AM1189" s="9"/>
      <c r="AN1189" s="9"/>
      <c r="AO1189" s="9"/>
      <c r="AP1189" s="9"/>
      <c r="AQ1189" s="9"/>
      <c r="AR1189" s="9"/>
      <c r="AS1189" s="9"/>
      <c r="AT1189" s="9"/>
      <c r="AU1189" s="9"/>
      <c r="AV1189" s="9"/>
      <c r="AW1189" s="9"/>
      <c r="AX1189" s="9"/>
      <c r="AY1189" s="9"/>
      <c r="AZ1189" s="9"/>
    </row>
    <row r="1190" spans="1:52">
      <c r="A1190" s="9"/>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c r="AD1190" s="9"/>
      <c r="AE1190" s="9"/>
      <c r="AF1190" s="9"/>
      <c r="AG1190" s="9"/>
      <c r="AH1190" s="9"/>
      <c r="AI1190" s="9"/>
      <c r="AJ1190" s="9"/>
      <c r="AK1190" s="9"/>
      <c r="AL1190" s="9"/>
      <c r="AM1190" s="9"/>
      <c r="AN1190" s="9"/>
      <c r="AO1190" s="9"/>
      <c r="AP1190" s="9"/>
      <c r="AQ1190" s="9"/>
      <c r="AR1190" s="9"/>
      <c r="AS1190" s="9"/>
      <c r="AT1190" s="9"/>
      <c r="AU1190" s="9"/>
      <c r="AV1190" s="9"/>
      <c r="AW1190" s="9"/>
      <c r="AX1190" s="9"/>
      <c r="AY1190" s="9"/>
      <c r="AZ1190" s="9"/>
    </row>
    <row r="1191" spans="1:52">
      <c r="A1191" s="9"/>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c r="AD1191" s="9"/>
      <c r="AE1191" s="9"/>
      <c r="AF1191" s="9"/>
      <c r="AG1191" s="9"/>
      <c r="AH1191" s="9"/>
      <c r="AI1191" s="9"/>
      <c r="AJ1191" s="9"/>
      <c r="AK1191" s="9"/>
      <c r="AL1191" s="9"/>
      <c r="AM1191" s="9"/>
      <c r="AN1191" s="9"/>
      <c r="AO1191" s="9"/>
      <c r="AP1191" s="9"/>
      <c r="AQ1191" s="9"/>
      <c r="AR1191" s="9"/>
      <c r="AS1191" s="9"/>
      <c r="AT1191" s="9"/>
      <c r="AU1191" s="9"/>
      <c r="AV1191" s="9"/>
      <c r="AW1191" s="9"/>
      <c r="AX1191" s="9"/>
      <c r="AY1191" s="9"/>
      <c r="AZ1191" s="9"/>
    </row>
    <row r="1192" spans="1:52">
      <c r="A1192" s="9"/>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c r="AD1192" s="9"/>
      <c r="AE1192" s="9"/>
      <c r="AF1192" s="9"/>
      <c r="AG1192" s="9"/>
      <c r="AH1192" s="9"/>
      <c r="AI1192" s="9"/>
      <c r="AJ1192" s="9"/>
      <c r="AK1192" s="9"/>
      <c r="AL1192" s="9"/>
      <c r="AM1192" s="9"/>
      <c r="AN1192" s="9"/>
      <c r="AO1192" s="9"/>
      <c r="AP1192" s="9"/>
      <c r="AQ1192" s="9"/>
      <c r="AR1192" s="9"/>
      <c r="AS1192" s="9"/>
      <c r="AT1192" s="9"/>
      <c r="AU1192" s="9"/>
      <c r="AV1192" s="9"/>
      <c r="AW1192" s="9"/>
      <c r="AX1192" s="9"/>
      <c r="AY1192" s="9"/>
      <c r="AZ1192" s="9"/>
    </row>
    <row r="1193" spans="1:52">
      <c r="A1193" s="9"/>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c r="AD1193" s="9"/>
      <c r="AE1193" s="9"/>
      <c r="AF1193" s="9"/>
      <c r="AG1193" s="9"/>
      <c r="AH1193" s="9"/>
      <c r="AI1193" s="9"/>
      <c r="AJ1193" s="9"/>
      <c r="AK1193" s="9"/>
      <c r="AL1193" s="9"/>
      <c r="AM1193" s="9"/>
      <c r="AN1193" s="9"/>
      <c r="AO1193" s="9"/>
      <c r="AP1193" s="9"/>
      <c r="AQ1193" s="9"/>
      <c r="AR1193" s="9"/>
      <c r="AS1193" s="9"/>
      <c r="AT1193" s="9"/>
      <c r="AU1193" s="9"/>
      <c r="AV1193" s="9"/>
      <c r="AW1193" s="9"/>
      <c r="AX1193" s="9"/>
      <c r="AY1193" s="9"/>
      <c r="AZ1193" s="9"/>
    </row>
    <row r="1194" spans="1:52">
      <c r="A1194" s="9"/>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c r="AD1194" s="9"/>
      <c r="AE1194" s="9"/>
      <c r="AF1194" s="9"/>
      <c r="AG1194" s="9"/>
      <c r="AH1194" s="9"/>
      <c r="AI1194" s="9"/>
      <c r="AJ1194" s="9"/>
      <c r="AK1194" s="9"/>
      <c r="AL1194" s="9"/>
      <c r="AM1194" s="9"/>
      <c r="AN1194" s="9"/>
      <c r="AO1194" s="9"/>
      <c r="AP1194" s="9"/>
      <c r="AQ1194" s="9"/>
      <c r="AR1194" s="9"/>
      <c r="AS1194" s="9"/>
      <c r="AT1194" s="9"/>
      <c r="AU1194" s="9"/>
      <c r="AV1194" s="9"/>
      <c r="AW1194" s="9"/>
      <c r="AX1194" s="9"/>
      <c r="AY1194" s="9"/>
      <c r="AZ1194" s="9"/>
    </row>
    <row r="1195" spans="1:52">
      <c r="A1195" s="9"/>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c r="AD1195" s="9"/>
      <c r="AE1195" s="9"/>
      <c r="AF1195" s="9"/>
      <c r="AG1195" s="9"/>
      <c r="AH1195" s="9"/>
      <c r="AI1195" s="9"/>
      <c r="AJ1195" s="9"/>
      <c r="AK1195" s="9"/>
      <c r="AL1195" s="9"/>
      <c r="AM1195" s="9"/>
      <c r="AN1195" s="9"/>
      <c r="AO1195" s="9"/>
      <c r="AP1195" s="9"/>
      <c r="AQ1195" s="9"/>
      <c r="AR1195" s="9"/>
      <c r="AS1195" s="9"/>
      <c r="AT1195" s="9"/>
      <c r="AU1195" s="9"/>
      <c r="AV1195" s="9"/>
      <c r="AW1195" s="9"/>
      <c r="AX1195" s="9"/>
      <c r="AY1195" s="9"/>
      <c r="AZ1195" s="9"/>
    </row>
    <row r="1196" spans="1:52">
      <c r="A1196" s="9"/>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c r="AD1196" s="9"/>
      <c r="AE1196" s="9"/>
      <c r="AF1196" s="9"/>
      <c r="AG1196" s="9"/>
      <c r="AH1196" s="9"/>
      <c r="AI1196" s="9"/>
      <c r="AJ1196" s="9"/>
      <c r="AK1196" s="9"/>
      <c r="AL1196" s="9"/>
      <c r="AM1196" s="9"/>
      <c r="AN1196" s="9"/>
      <c r="AO1196" s="9"/>
      <c r="AP1196" s="9"/>
      <c r="AQ1196" s="9"/>
      <c r="AR1196" s="9"/>
      <c r="AS1196" s="9"/>
      <c r="AT1196" s="9"/>
      <c r="AU1196" s="9"/>
      <c r="AV1196" s="9"/>
      <c r="AW1196" s="9"/>
      <c r="AX1196" s="9"/>
      <c r="AY1196" s="9"/>
      <c r="AZ1196" s="9"/>
    </row>
    <row r="1197" spans="1:52">
      <c r="A1197" s="9"/>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c r="AD1197" s="9"/>
      <c r="AE1197" s="9"/>
      <c r="AF1197" s="9"/>
      <c r="AG1197" s="9"/>
      <c r="AH1197" s="9"/>
      <c r="AI1197" s="9"/>
      <c r="AJ1197" s="9"/>
      <c r="AK1197" s="9"/>
      <c r="AL1197" s="9"/>
      <c r="AM1197" s="9"/>
      <c r="AN1197" s="9"/>
      <c r="AO1197" s="9"/>
      <c r="AP1197" s="9"/>
      <c r="AQ1197" s="9"/>
      <c r="AR1197" s="9"/>
      <c r="AS1197" s="9"/>
      <c r="AT1197" s="9"/>
      <c r="AU1197" s="9"/>
      <c r="AV1197" s="9"/>
      <c r="AW1197" s="9"/>
      <c r="AX1197" s="9"/>
      <c r="AY1197" s="9"/>
      <c r="AZ1197" s="9"/>
    </row>
    <row r="1198" spans="1:52">
      <c r="A1198" s="9"/>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c r="AD1198" s="9"/>
      <c r="AE1198" s="9"/>
      <c r="AF1198" s="9"/>
      <c r="AG1198" s="9"/>
      <c r="AH1198" s="9"/>
      <c r="AI1198" s="9"/>
      <c r="AJ1198" s="9"/>
      <c r="AK1198" s="9"/>
      <c r="AL1198" s="9"/>
      <c r="AM1198" s="9"/>
      <c r="AN1198" s="9"/>
      <c r="AO1198" s="9"/>
      <c r="AP1198" s="9"/>
      <c r="AQ1198" s="9"/>
      <c r="AR1198" s="9"/>
      <c r="AS1198" s="9"/>
      <c r="AT1198" s="9"/>
      <c r="AU1198" s="9"/>
      <c r="AV1198" s="9"/>
      <c r="AW1198" s="9"/>
      <c r="AX1198" s="9"/>
      <c r="AY1198" s="9"/>
      <c r="AZ1198" s="9"/>
    </row>
    <row r="1199" spans="1:52">
      <c r="A1199" s="9"/>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c r="AD1199" s="9"/>
      <c r="AE1199" s="9"/>
      <c r="AF1199" s="9"/>
      <c r="AG1199" s="9"/>
      <c r="AH1199" s="9"/>
      <c r="AI1199" s="9"/>
      <c r="AJ1199" s="9"/>
      <c r="AK1199" s="9"/>
      <c r="AL1199" s="9"/>
      <c r="AM1199" s="9"/>
      <c r="AN1199" s="9"/>
      <c r="AO1199" s="9"/>
      <c r="AP1199" s="9"/>
      <c r="AQ1199" s="9"/>
      <c r="AR1199" s="9"/>
      <c r="AS1199" s="9"/>
      <c r="AT1199" s="9"/>
      <c r="AU1199" s="9"/>
      <c r="AV1199" s="9"/>
      <c r="AW1199" s="9"/>
      <c r="AX1199" s="9"/>
      <c r="AY1199" s="9"/>
      <c r="AZ1199" s="9"/>
    </row>
    <row r="1200" spans="1:52">
      <c r="A1200" s="9"/>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c r="AD1200" s="9"/>
      <c r="AE1200" s="9"/>
      <c r="AF1200" s="9"/>
      <c r="AG1200" s="9"/>
      <c r="AH1200" s="9"/>
      <c r="AI1200" s="9"/>
      <c r="AJ1200" s="9"/>
      <c r="AK1200" s="9"/>
      <c r="AL1200" s="9"/>
      <c r="AM1200" s="9"/>
      <c r="AN1200" s="9"/>
      <c r="AO1200" s="9"/>
      <c r="AP1200" s="9"/>
      <c r="AQ1200" s="9"/>
      <c r="AR1200" s="9"/>
      <c r="AS1200" s="9"/>
      <c r="AT1200" s="9"/>
      <c r="AU1200" s="9"/>
      <c r="AV1200" s="9"/>
      <c r="AW1200" s="9"/>
      <c r="AX1200" s="9"/>
      <c r="AY1200" s="9"/>
      <c r="AZ1200" s="9"/>
    </row>
    <row r="1201" spans="1:52">
      <c r="A1201" s="9"/>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c r="AD1201" s="9"/>
      <c r="AE1201" s="9"/>
      <c r="AF1201" s="9"/>
      <c r="AG1201" s="9"/>
      <c r="AH1201" s="9"/>
      <c r="AI1201" s="9"/>
      <c r="AJ1201" s="9"/>
      <c r="AK1201" s="9"/>
      <c r="AL1201" s="9"/>
      <c r="AM1201" s="9"/>
      <c r="AN1201" s="9"/>
      <c r="AO1201" s="9"/>
      <c r="AP1201" s="9"/>
      <c r="AQ1201" s="9"/>
      <c r="AR1201" s="9"/>
      <c r="AS1201" s="9"/>
      <c r="AT1201" s="9"/>
      <c r="AU1201" s="9"/>
      <c r="AV1201" s="9"/>
      <c r="AW1201" s="9"/>
      <c r="AX1201" s="9"/>
      <c r="AY1201" s="9"/>
      <c r="AZ1201" s="9"/>
    </row>
    <row r="1202" spans="1:52">
      <c r="A1202" s="9"/>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c r="AD1202" s="9"/>
      <c r="AE1202" s="9"/>
      <c r="AF1202" s="9"/>
      <c r="AG1202" s="9"/>
      <c r="AH1202" s="9"/>
      <c r="AI1202" s="9"/>
      <c r="AJ1202" s="9"/>
      <c r="AK1202" s="9"/>
      <c r="AL1202" s="9"/>
      <c r="AM1202" s="9"/>
      <c r="AN1202" s="9"/>
      <c r="AO1202" s="9"/>
      <c r="AP1202" s="9"/>
      <c r="AQ1202" s="9"/>
      <c r="AR1202" s="9"/>
      <c r="AS1202" s="9"/>
      <c r="AT1202" s="9"/>
      <c r="AU1202" s="9"/>
      <c r="AV1202" s="9"/>
      <c r="AW1202" s="9"/>
      <c r="AX1202" s="9"/>
      <c r="AY1202" s="9"/>
      <c r="AZ1202" s="9"/>
    </row>
    <row r="1203" spans="1:52">
      <c r="A1203" s="9"/>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c r="AD1203" s="9"/>
      <c r="AE1203" s="9"/>
      <c r="AF1203" s="9"/>
      <c r="AG1203" s="9"/>
      <c r="AH1203" s="9"/>
      <c r="AI1203" s="9"/>
      <c r="AJ1203" s="9"/>
      <c r="AK1203" s="9"/>
      <c r="AL1203" s="9"/>
      <c r="AM1203" s="9"/>
      <c r="AN1203" s="9"/>
      <c r="AO1203" s="9"/>
      <c r="AP1203" s="9"/>
      <c r="AQ1203" s="9"/>
      <c r="AR1203" s="9"/>
      <c r="AS1203" s="9"/>
      <c r="AT1203" s="9"/>
      <c r="AU1203" s="9"/>
      <c r="AV1203" s="9"/>
      <c r="AW1203" s="9"/>
      <c r="AX1203" s="9"/>
      <c r="AY1203" s="9"/>
      <c r="AZ1203" s="9"/>
    </row>
    <row r="1204" spans="1:52">
      <c r="A1204" s="9"/>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c r="AD1204" s="9"/>
      <c r="AE1204" s="9"/>
      <c r="AF1204" s="9"/>
      <c r="AG1204" s="9"/>
      <c r="AH1204" s="9"/>
      <c r="AI1204" s="9"/>
      <c r="AJ1204" s="9"/>
      <c r="AK1204" s="9"/>
      <c r="AL1204" s="9"/>
      <c r="AM1204" s="9"/>
      <c r="AN1204" s="9"/>
      <c r="AO1204" s="9"/>
      <c r="AP1204" s="9"/>
      <c r="AQ1204" s="9"/>
      <c r="AR1204" s="9"/>
      <c r="AS1204" s="9"/>
      <c r="AT1204" s="9"/>
      <c r="AU1204" s="9"/>
      <c r="AV1204" s="9"/>
      <c r="AW1204" s="9"/>
      <c r="AX1204" s="9"/>
      <c r="AY1204" s="9"/>
      <c r="AZ1204" s="9"/>
    </row>
    <row r="1205" spans="1:52">
      <c r="A1205" s="9"/>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c r="AD1205" s="9"/>
      <c r="AE1205" s="9"/>
      <c r="AF1205" s="9"/>
      <c r="AG1205" s="9"/>
      <c r="AH1205" s="9"/>
      <c r="AI1205" s="9"/>
      <c r="AJ1205" s="9"/>
      <c r="AK1205" s="9"/>
      <c r="AL1205" s="9"/>
      <c r="AM1205" s="9"/>
      <c r="AN1205" s="9"/>
      <c r="AO1205" s="9"/>
      <c r="AP1205" s="9"/>
      <c r="AQ1205" s="9"/>
      <c r="AR1205" s="9"/>
      <c r="AS1205" s="9"/>
      <c r="AT1205" s="9"/>
      <c r="AU1205" s="9"/>
      <c r="AV1205" s="9"/>
      <c r="AW1205" s="9"/>
      <c r="AX1205" s="9"/>
      <c r="AY1205" s="9"/>
      <c r="AZ1205" s="9"/>
    </row>
    <row r="1206" spans="1:52">
      <c r="A1206" s="9"/>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c r="AD1206" s="9"/>
      <c r="AE1206" s="9"/>
      <c r="AF1206" s="9"/>
      <c r="AG1206" s="9"/>
      <c r="AH1206" s="9"/>
      <c r="AI1206" s="9"/>
      <c r="AJ1206" s="9"/>
      <c r="AK1206" s="9"/>
      <c r="AL1206" s="9"/>
      <c r="AM1206" s="9"/>
      <c r="AN1206" s="9"/>
      <c r="AO1206" s="9"/>
      <c r="AP1206" s="9"/>
      <c r="AQ1206" s="9"/>
      <c r="AR1206" s="9"/>
      <c r="AS1206" s="9"/>
      <c r="AT1206" s="9"/>
      <c r="AU1206" s="9"/>
      <c r="AV1206" s="9"/>
      <c r="AW1206" s="9"/>
      <c r="AX1206" s="9"/>
      <c r="AY1206" s="9"/>
      <c r="AZ1206" s="9"/>
    </row>
    <row r="1207" spans="1:52">
      <c r="A1207" s="9"/>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c r="AD1207" s="9"/>
      <c r="AE1207" s="9"/>
      <c r="AF1207" s="9"/>
      <c r="AG1207" s="9"/>
      <c r="AH1207" s="9"/>
      <c r="AI1207" s="9"/>
      <c r="AJ1207" s="9"/>
      <c r="AK1207" s="9"/>
      <c r="AL1207" s="9"/>
      <c r="AM1207" s="9"/>
      <c r="AN1207" s="9"/>
      <c r="AO1207" s="9"/>
      <c r="AP1207" s="9"/>
      <c r="AQ1207" s="9"/>
      <c r="AR1207" s="9"/>
      <c r="AS1207" s="9"/>
      <c r="AT1207" s="9"/>
      <c r="AU1207" s="9"/>
      <c r="AV1207" s="9"/>
      <c r="AW1207" s="9"/>
      <c r="AX1207" s="9"/>
      <c r="AY1207" s="9"/>
      <c r="AZ1207" s="9"/>
    </row>
    <row r="1208" spans="1:52">
      <c r="A1208" s="9"/>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c r="AD1208" s="9"/>
      <c r="AE1208" s="9"/>
      <c r="AF1208" s="9"/>
      <c r="AG1208" s="9"/>
      <c r="AH1208" s="9"/>
      <c r="AI1208" s="9"/>
      <c r="AJ1208" s="9"/>
      <c r="AK1208" s="9"/>
      <c r="AL1208" s="9"/>
      <c r="AM1208" s="9"/>
      <c r="AN1208" s="9"/>
      <c r="AO1208" s="9"/>
      <c r="AP1208" s="9"/>
      <c r="AQ1208" s="9"/>
      <c r="AR1208" s="9"/>
      <c r="AS1208" s="9"/>
      <c r="AT1208" s="9"/>
      <c r="AU1208" s="9"/>
      <c r="AV1208" s="9"/>
      <c r="AW1208" s="9"/>
      <c r="AX1208" s="9"/>
      <c r="AY1208" s="9"/>
      <c r="AZ1208" s="9"/>
    </row>
    <row r="1209" spans="1:52">
      <c r="A1209" s="9"/>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c r="AD1209" s="9"/>
      <c r="AE1209" s="9"/>
      <c r="AF1209" s="9"/>
      <c r="AG1209" s="9"/>
      <c r="AH1209" s="9"/>
      <c r="AI1209" s="9"/>
      <c r="AJ1209" s="9"/>
      <c r="AK1209" s="9"/>
      <c r="AL1209" s="9"/>
      <c r="AM1209" s="9"/>
      <c r="AN1209" s="9"/>
      <c r="AO1209" s="9"/>
      <c r="AP1209" s="9"/>
      <c r="AQ1209" s="9"/>
      <c r="AR1209" s="9"/>
      <c r="AS1209" s="9"/>
      <c r="AT1209" s="9"/>
      <c r="AU1209" s="9"/>
      <c r="AV1209" s="9"/>
      <c r="AW1209" s="9"/>
      <c r="AX1209" s="9"/>
      <c r="AY1209" s="9"/>
      <c r="AZ1209" s="9"/>
    </row>
    <row r="1210" spans="1:52">
      <c r="A1210" s="9"/>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c r="AD1210" s="9"/>
      <c r="AE1210" s="9"/>
      <c r="AF1210" s="9"/>
      <c r="AG1210" s="9"/>
      <c r="AH1210" s="9"/>
      <c r="AI1210" s="9"/>
      <c r="AJ1210" s="9"/>
      <c r="AK1210" s="9"/>
      <c r="AL1210" s="9"/>
      <c r="AM1210" s="9"/>
      <c r="AN1210" s="9"/>
      <c r="AO1210" s="9"/>
      <c r="AP1210" s="9"/>
      <c r="AQ1210" s="9"/>
      <c r="AR1210" s="9"/>
      <c r="AS1210" s="9"/>
      <c r="AT1210" s="9"/>
      <c r="AU1210" s="9"/>
      <c r="AV1210" s="9"/>
      <c r="AW1210" s="9"/>
      <c r="AX1210" s="9"/>
      <c r="AY1210" s="9"/>
      <c r="AZ1210" s="9"/>
    </row>
    <row r="1211" spans="1:52">
      <c r="A1211" s="9"/>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c r="AD1211" s="9"/>
      <c r="AE1211" s="9"/>
      <c r="AF1211" s="9"/>
      <c r="AG1211" s="9"/>
      <c r="AH1211" s="9"/>
      <c r="AI1211" s="9"/>
      <c r="AJ1211" s="9"/>
      <c r="AK1211" s="9"/>
      <c r="AL1211" s="9"/>
      <c r="AM1211" s="9"/>
      <c r="AN1211" s="9"/>
      <c r="AO1211" s="9"/>
      <c r="AP1211" s="9"/>
      <c r="AQ1211" s="9"/>
      <c r="AR1211" s="9"/>
      <c r="AS1211" s="9"/>
      <c r="AT1211" s="9"/>
      <c r="AU1211" s="9"/>
      <c r="AV1211" s="9"/>
      <c r="AW1211" s="9"/>
      <c r="AX1211" s="9"/>
      <c r="AY1211" s="9"/>
      <c r="AZ1211" s="9"/>
    </row>
    <row r="1212" spans="1:52">
      <c r="A1212" s="9"/>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c r="AD1212" s="9"/>
      <c r="AE1212" s="9"/>
      <c r="AF1212" s="9"/>
      <c r="AG1212" s="9"/>
      <c r="AH1212" s="9"/>
      <c r="AI1212" s="9"/>
      <c r="AJ1212" s="9"/>
      <c r="AK1212" s="9"/>
      <c r="AL1212" s="9"/>
      <c r="AM1212" s="9"/>
      <c r="AN1212" s="9"/>
      <c r="AO1212" s="9"/>
      <c r="AP1212" s="9"/>
      <c r="AQ1212" s="9"/>
      <c r="AR1212" s="9"/>
      <c r="AS1212" s="9"/>
      <c r="AT1212" s="9"/>
      <c r="AU1212" s="9"/>
      <c r="AV1212" s="9"/>
      <c r="AW1212" s="9"/>
      <c r="AX1212" s="9"/>
      <c r="AY1212" s="9"/>
      <c r="AZ1212" s="9"/>
    </row>
    <row r="1213" spans="1:52">
      <c r="A1213" s="9"/>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c r="AD1213" s="9"/>
      <c r="AE1213" s="9"/>
      <c r="AF1213" s="9"/>
      <c r="AG1213" s="9"/>
      <c r="AH1213" s="9"/>
      <c r="AI1213" s="9"/>
      <c r="AJ1213" s="9"/>
      <c r="AK1213" s="9"/>
      <c r="AL1213" s="9"/>
      <c r="AM1213" s="9"/>
      <c r="AN1213" s="9"/>
      <c r="AO1213" s="9"/>
      <c r="AP1213" s="9"/>
      <c r="AQ1213" s="9"/>
      <c r="AR1213" s="9"/>
      <c r="AS1213" s="9"/>
      <c r="AT1213" s="9"/>
      <c r="AU1213" s="9"/>
      <c r="AV1213" s="9"/>
      <c r="AW1213" s="9"/>
      <c r="AX1213" s="9"/>
      <c r="AY1213" s="9"/>
      <c r="AZ1213" s="9"/>
    </row>
    <row r="1214" spans="1:52">
      <c r="A1214" s="9"/>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c r="AD1214" s="9"/>
      <c r="AE1214" s="9"/>
      <c r="AF1214" s="9"/>
      <c r="AG1214" s="9"/>
      <c r="AH1214" s="9"/>
      <c r="AI1214" s="9"/>
      <c r="AJ1214" s="9"/>
      <c r="AK1214" s="9"/>
      <c r="AL1214" s="9"/>
      <c r="AM1214" s="9"/>
      <c r="AN1214" s="9"/>
      <c r="AO1214" s="9"/>
      <c r="AP1214" s="9"/>
      <c r="AQ1214" s="9"/>
      <c r="AR1214" s="9"/>
      <c r="AS1214" s="9"/>
      <c r="AT1214" s="9"/>
      <c r="AU1214" s="9"/>
      <c r="AV1214" s="9"/>
      <c r="AW1214" s="9"/>
      <c r="AX1214" s="9"/>
      <c r="AY1214" s="9"/>
      <c r="AZ1214" s="9"/>
    </row>
    <row r="1215" spans="1:52">
      <c r="A1215" s="9"/>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c r="AD1215" s="9"/>
      <c r="AE1215" s="9"/>
      <c r="AF1215" s="9"/>
      <c r="AG1215" s="9"/>
      <c r="AH1215" s="9"/>
      <c r="AI1215" s="9"/>
      <c r="AJ1215" s="9"/>
      <c r="AK1215" s="9"/>
      <c r="AL1215" s="9"/>
      <c r="AM1215" s="9"/>
      <c r="AN1215" s="9"/>
      <c r="AO1215" s="9"/>
      <c r="AP1215" s="9"/>
      <c r="AQ1215" s="9"/>
      <c r="AR1215" s="9"/>
      <c r="AS1215" s="9"/>
      <c r="AT1215" s="9"/>
      <c r="AU1215" s="9"/>
      <c r="AV1215" s="9"/>
      <c r="AW1215" s="9"/>
      <c r="AX1215" s="9"/>
      <c r="AY1215" s="9"/>
      <c r="AZ1215" s="9"/>
    </row>
    <row r="1216" spans="1:52">
      <c r="A1216" s="9"/>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c r="AD1216" s="9"/>
      <c r="AE1216" s="9"/>
      <c r="AF1216" s="9"/>
      <c r="AG1216" s="9"/>
      <c r="AH1216" s="9"/>
      <c r="AI1216" s="9"/>
      <c r="AJ1216" s="9"/>
      <c r="AK1216" s="9"/>
      <c r="AL1216" s="9"/>
      <c r="AM1216" s="9"/>
      <c r="AN1216" s="9"/>
      <c r="AO1216" s="9"/>
      <c r="AP1216" s="9"/>
      <c r="AQ1216" s="9"/>
      <c r="AR1216" s="9"/>
      <c r="AS1216" s="9"/>
      <c r="AT1216" s="9"/>
      <c r="AU1216" s="9"/>
      <c r="AV1216" s="9"/>
      <c r="AW1216" s="9"/>
      <c r="AX1216" s="9"/>
      <c r="AY1216" s="9"/>
      <c r="AZ1216" s="9"/>
    </row>
    <row r="1217" spans="1:52">
      <c r="A1217" s="9"/>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c r="AD1217" s="9"/>
      <c r="AE1217" s="9"/>
      <c r="AF1217" s="9"/>
      <c r="AG1217" s="9"/>
      <c r="AH1217" s="9"/>
      <c r="AI1217" s="9"/>
      <c r="AJ1217" s="9"/>
      <c r="AK1217" s="9"/>
      <c r="AL1217" s="9"/>
      <c r="AM1217" s="9"/>
      <c r="AN1217" s="9"/>
      <c r="AO1217" s="9"/>
      <c r="AP1217" s="9"/>
      <c r="AQ1217" s="9"/>
      <c r="AR1217" s="9"/>
      <c r="AS1217" s="9"/>
      <c r="AT1217" s="9"/>
      <c r="AU1217" s="9"/>
      <c r="AV1217" s="9"/>
      <c r="AW1217" s="9"/>
      <c r="AX1217" s="9"/>
      <c r="AY1217" s="9"/>
      <c r="AZ1217" s="9"/>
    </row>
    <row r="1218" spans="1:52">
      <c r="A1218" s="9"/>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c r="AD1218" s="9"/>
      <c r="AE1218" s="9"/>
      <c r="AF1218" s="9"/>
      <c r="AG1218" s="9"/>
      <c r="AH1218" s="9"/>
      <c r="AI1218" s="9"/>
      <c r="AJ1218" s="9"/>
      <c r="AK1218" s="9"/>
      <c r="AL1218" s="9"/>
      <c r="AM1218" s="9"/>
      <c r="AN1218" s="9"/>
      <c r="AO1218" s="9"/>
      <c r="AP1218" s="9"/>
      <c r="AQ1218" s="9"/>
      <c r="AR1218" s="9"/>
      <c r="AS1218" s="9"/>
      <c r="AT1218" s="9"/>
      <c r="AU1218" s="9"/>
      <c r="AV1218" s="9"/>
      <c r="AW1218" s="9"/>
      <c r="AX1218" s="9"/>
      <c r="AY1218" s="9"/>
      <c r="AZ1218" s="9"/>
    </row>
    <row r="1219" spans="1:52">
      <c r="A1219" s="9"/>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c r="AD1219" s="9"/>
      <c r="AE1219" s="9"/>
      <c r="AF1219" s="9"/>
      <c r="AG1219" s="9"/>
      <c r="AH1219" s="9"/>
      <c r="AI1219" s="9"/>
      <c r="AJ1219" s="9"/>
      <c r="AK1219" s="9"/>
      <c r="AL1219" s="9"/>
      <c r="AM1219" s="9"/>
      <c r="AN1219" s="9"/>
      <c r="AO1219" s="9"/>
      <c r="AP1219" s="9"/>
      <c r="AQ1219" s="9"/>
      <c r="AR1219" s="9"/>
      <c r="AS1219" s="9"/>
      <c r="AT1219" s="9"/>
      <c r="AU1219" s="9"/>
      <c r="AV1219" s="9"/>
      <c r="AW1219" s="9"/>
      <c r="AX1219" s="9"/>
      <c r="AY1219" s="9"/>
      <c r="AZ1219" s="9"/>
    </row>
    <row r="1220" spans="1:52">
      <c r="A1220" s="9"/>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c r="AD1220" s="9"/>
      <c r="AE1220" s="9"/>
      <c r="AF1220" s="9"/>
      <c r="AG1220" s="9"/>
      <c r="AH1220" s="9"/>
      <c r="AI1220" s="9"/>
      <c r="AJ1220" s="9"/>
      <c r="AK1220" s="9"/>
      <c r="AL1220" s="9"/>
      <c r="AM1220" s="9"/>
      <c r="AN1220" s="9"/>
      <c r="AO1220" s="9"/>
      <c r="AP1220" s="9"/>
      <c r="AQ1220" s="9"/>
      <c r="AR1220" s="9"/>
      <c r="AS1220" s="9"/>
      <c r="AT1220" s="9"/>
      <c r="AU1220" s="9"/>
      <c r="AV1220" s="9"/>
      <c r="AW1220" s="9"/>
      <c r="AX1220" s="9"/>
      <c r="AY1220" s="9"/>
      <c r="AZ1220" s="9"/>
    </row>
    <row r="1221" spans="1:52">
      <c r="A1221" s="9"/>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c r="AD1221" s="9"/>
      <c r="AE1221" s="9"/>
      <c r="AF1221" s="9"/>
      <c r="AG1221" s="9"/>
      <c r="AH1221" s="9"/>
      <c r="AI1221" s="9"/>
      <c r="AJ1221" s="9"/>
      <c r="AK1221" s="9"/>
      <c r="AL1221" s="9"/>
      <c r="AM1221" s="9"/>
      <c r="AN1221" s="9"/>
      <c r="AO1221" s="9"/>
      <c r="AP1221" s="9"/>
      <c r="AQ1221" s="9"/>
      <c r="AR1221" s="9"/>
      <c r="AS1221" s="9"/>
      <c r="AT1221" s="9"/>
      <c r="AU1221" s="9"/>
      <c r="AV1221" s="9"/>
      <c r="AW1221" s="9"/>
      <c r="AX1221" s="9"/>
      <c r="AY1221" s="9"/>
      <c r="AZ1221" s="9"/>
    </row>
    <row r="1222" spans="1:52">
      <c r="A1222" s="9"/>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c r="AD1222" s="9"/>
      <c r="AE1222" s="9"/>
      <c r="AF1222" s="9"/>
      <c r="AG1222" s="9"/>
      <c r="AH1222" s="9"/>
      <c r="AI1222" s="9"/>
      <c r="AJ1222" s="9"/>
      <c r="AK1222" s="9"/>
      <c r="AL1222" s="9"/>
      <c r="AM1222" s="9"/>
      <c r="AN1222" s="9"/>
      <c r="AO1222" s="9"/>
      <c r="AP1222" s="9"/>
      <c r="AQ1222" s="9"/>
      <c r="AR1222" s="9"/>
      <c r="AS1222" s="9"/>
      <c r="AT1222" s="9"/>
      <c r="AU1222" s="9"/>
      <c r="AV1222" s="9"/>
      <c r="AW1222" s="9"/>
      <c r="AX1222" s="9"/>
      <c r="AY1222" s="9"/>
      <c r="AZ1222" s="9"/>
    </row>
    <row r="1223" spans="1:52">
      <c r="A1223" s="9"/>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c r="AD1223" s="9"/>
      <c r="AE1223" s="9"/>
      <c r="AF1223" s="9"/>
      <c r="AG1223" s="9"/>
      <c r="AH1223" s="9"/>
      <c r="AI1223" s="9"/>
      <c r="AJ1223" s="9"/>
      <c r="AK1223" s="9"/>
      <c r="AL1223" s="9"/>
      <c r="AM1223" s="9"/>
      <c r="AN1223" s="9"/>
      <c r="AO1223" s="9"/>
      <c r="AP1223" s="9"/>
      <c r="AQ1223" s="9"/>
      <c r="AR1223" s="9"/>
      <c r="AS1223" s="9"/>
      <c r="AT1223" s="9"/>
      <c r="AU1223" s="9"/>
      <c r="AV1223" s="9"/>
      <c r="AW1223" s="9"/>
      <c r="AX1223" s="9"/>
      <c r="AY1223" s="9"/>
      <c r="AZ1223" s="9"/>
    </row>
    <row r="1224" spans="1:52">
      <c r="A1224" s="9"/>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c r="AD1224" s="9"/>
      <c r="AE1224" s="9"/>
      <c r="AF1224" s="9"/>
      <c r="AG1224" s="9"/>
      <c r="AH1224" s="9"/>
      <c r="AI1224" s="9"/>
      <c r="AJ1224" s="9"/>
      <c r="AK1224" s="9"/>
      <c r="AL1224" s="9"/>
      <c r="AM1224" s="9"/>
      <c r="AN1224" s="9"/>
      <c r="AO1224" s="9"/>
      <c r="AP1224" s="9"/>
      <c r="AQ1224" s="9"/>
      <c r="AR1224" s="9"/>
      <c r="AS1224" s="9"/>
      <c r="AT1224" s="9"/>
      <c r="AU1224" s="9"/>
      <c r="AV1224" s="9"/>
      <c r="AW1224" s="9"/>
      <c r="AX1224" s="9"/>
      <c r="AY1224" s="9"/>
      <c r="AZ1224" s="9"/>
    </row>
    <row r="1225" spans="1:52">
      <c r="A1225" s="9"/>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c r="AD1225" s="9"/>
      <c r="AE1225" s="9"/>
      <c r="AF1225" s="9"/>
      <c r="AG1225" s="9"/>
      <c r="AH1225" s="9"/>
      <c r="AI1225" s="9"/>
      <c r="AJ1225" s="9"/>
      <c r="AK1225" s="9"/>
      <c r="AL1225" s="9"/>
      <c r="AM1225" s="9"/>
      <c r="AN1225" s="9"/>
      <c r="AO1225" s="9"/>
      <c r="AP1225" s="9"/>
      <c r="AQ1225" s="9"/>
      <c r="AR1225" s="9"/>
      <c r="AS1225" s="9"/>
      <c r="AT1225" s="9"/>
      <c r="AU1225" s="9"/>
      <c r="AV1225" s="9"/>
      <c r="AW1225" s="9"/>
      <c r="AX1225" s="9"/>
      <c r="AY1225" s="9"/>
      <c r="AZ1225" s="9"/>
    </row>
    <row r="1226" spans="1:52">
      <c r="A1226" s="9"/>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c r="AD1226" s="9"/>
      <c r="AE1226" s="9"/>
      <c r="AF1226" s="9"/>
      <c r="AG1226" s="9"/>
      <c r="AH1226" s="9"/>
      <c r="AI1226" s="9"/>
      <c r="AJ1226" s="9"/>
      <c r="AK1226" s="9"/>
      <c r="AL1226" s="9"/>
      <c r="AM1226" s="9"/>
      <c r="AN1226" s="9"/>
      <c r="AO1226" s="9"/>
      <c r="AP1226" s="9"/>
      <c r="AQ1226" s="9"/>
      <c r="AR1226" s="9"/>
      <c r="AS1226" s="9"/>
      <c r="AT1226" s="9"/>
      <c r="AU1226" s="9"/>
      <c r="AV1226" s="9"/>
      <c r="AW1226" s="9"/>
      <c r="AX1226" s="9"/>
      <c r="AY1226" s="9"/>
      <c r="AZ1226" s="9"/>
    </row>
    <row r="1227" spans="1:52">
      <c r="A1227" s="9"/>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c r="AD1227" s="9"/>
      <c r="AE1227" s="9"/>
      <c r="AF1227" s="9"/>
      <c r="AG1227" s="9"/>
      <c r="AH1227" s="9"/>
      <c r="AI1227" s="9"/>
      <c r="AJ1227" s="9"/>
      <c r="AK1227" s="9"/>
      <c r="AL1227" s="9"/>
      <c r="AM1227" s="9"/>
      <c r="AN1227" s="9"/>
      <c r="AO1227" s="9"/>
      <c r="AP1227" s="9"/>
      <c r="AQ1227" s="9"/>
      <c r="AR1227" s="9"/>
      <c r="AS1227" s="9"/>
      <c r="AT1227" s="9"/>
      <c r="AU1227" s="9"/>
      <c r="AV1227" s="9"/>
      <c r="AW1227" s="9"/>
      <c r="AX1227" s="9"/>
      <c r="AY1227" s="9"/>
      <c r="AZ1227" s="9"/>
    </row>
    <row r="1228" spans="1:52">
      <c r="A1228" s="9"/>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c r="AD1228" s="9"/>
      <c r="AE1228" s="9"/>
      <c r="AF1228" s="9"/>
      <c r="AG1228" s="9"/>
      <c r="AH1228" s="9"/>
      <c r="AI1228" s="9"/>
      <c r="AJ1228" s="9"/>
      <c r="AK1228" s="9"/>
      <c r="AL1228" s="9"/>
      <c r="AM1228" s="9"/>
      <c r="AN1228" s="9"/>
      <c r="AO1228" s="9"/>
      <c r="AP1228" s="9"/>
      <c r="AQ1228" s="9"/>
      <c r="AR1228" s="9"/>
      <c r="AS1228" s="9"/>
      <c r="AT1228" s="9"/>
      <c r="AU1228" s="9"/>
      <c r="AV1228" s="9"/>
      <c r="AW1228" s="9"/>
      <c r="AX1228" s="9"/>
      <c r="AY1228" s="9"/>
      <c r="AZ1228" s="9"/>
    </row>
    <row r="1229" spans="1:52">
      <c r="A1229" s="9"/>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c r="AD1229" s="9"/>
      <c r="AE1229" s="9"/>
      <c r="AF1229" s="9"/>
      <c r="AG1229" s="9"/>
      <c r="AH1229" s="9"/>
      <c r="AI1229" s="9"/>
      <c r="AJ1229" s="9"/>
      <c r="AK1229" s="9"/>
      <c r="AL1229" s="9"/>
      <c r="AM1229" s="9"/>
      <c r="AN1229" s="9"/>
      <c r="AO1229" s="9"/>
      <c r="AP1229" s="9"/>
      <c r="AQ1229" s="9"/>
      <c r="AR1229" s="9"/>
      <c r="AS1229" s="9"/>
      <c r="AT1229" s="9"/>
      <c r="AU1229" s="9"/>
      <c r="AV1229" s="9"/>
      <c r="AW1229" s="9"/>
      <c r="AX1229" s="9"/>
      <c r="AY1229" s="9"/>
      <c r="AZ1229" s="9"/>
    </row>
    <row r="1230" spans="1:52">
      <c r="A1230" s="9"/>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c r="AD1230" s="9"/>
      <c r="AE1230" s="9"/>
      <c r="AF1230" s="9"/>
      <c r="AG1230" s="9"/>
      <c r="AH1230" s="9"/>
      <c r="AI1230" s="9"/>
      <c r="AJ1230" s="9"/>
      <c r="AK1230" s="9"/>
      <c r="AL1230" s="9"/>
      <c r="AM1230" s="9"/>
      <c r="AN1230" s="9"/>
      <c r="AO1230" s="9"/>
      <c r="AP1230" s="9"/>
      <c r="AQ1230" s="9"/>
      <c r="AR1230" s="9"/>
      <c r="AS1230" s="9"/>
      <c r="AT1230" s="9"/>
      <c r="AU1230" s="9"/>
      <c r="AV1230" s="9"/>
      <c r="AW1230" s="9"/>
      <c r="AX1230" s="9"/>
      <c r="AY1230" s="9"/>
      <c r="AZ1230" s="9"/>
    </row>
    <row r="1231" spans="1:52">
      <c r="A1231" s="9"/>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c r="AD1231" s="9"/>
      <c r="AE1231" s="9"/>
      <c r="AF1231" s="9"/>
      <c r="AG1231" s="9"/>
      <c r="AH1231" s="9"/>
      <c r="AI1231" s="9"/>
      <c r="AJ1231" s="9"/>
      <c r="AK1231" s="9"/>
      <c r="AL1231" s="9"/>
      <c r="AM1231" s="9"/>
      <c r="AN1231" s="9"/>
      <c r="AO1231" s="9"/>
      <c r="AP1231" s="9"/>
      <c r="AQ1231" s="9"/>
      <c r="AR1231" s="9"/>
      <c r="AS1231" s="9"/>
      <c r="AT1231" s="9"/>
      <c r="AU1231" s="9"/>
      <c r="AV1231" s="9"/>
      <c r="AW1231" s="9"/>
      <c r="AX1231" s="9"/>
      <c r="AY1231" s="9"/>
      <c r="AZ1231" s="9"/>
    </row>
    <row r="1232" spans="1:52">
      <c r="A1232" s="9"/>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c r="AD1232" s="9"/>
      <c r="AE1232" s="9"/>
      <c r="AF1232" s="9"/>
      <c r="AG1232" s="9"/>
      <c r="AH1232" s="9"/>
      <c r="AI1232" s="9"/>
      <c r="AJ1232" s="9"/>
      <c r="AK1232" s="9"/>
      <c r="AL1232" s="9"/>
      <c r="AM1232" s="9"/>
      <c r="AN1232" s="9"/>
      <c r="AO1232" s="9"/>
      <c r="AP1232" s="9"/>
      <c r="AQ1232" s="9"/>
      <c r="AR1232" s="9"/>
      <c r="AS1232" s="9"/>
      <c r="AT1232" s="9"/>
      <c r="AU1232" s="9"/>
      <c r="AV1232" s="9"/>
      <c r="AW1232" s="9"/>
      <c r="AX1232" s="9"/>
      <c r="AY1232" s="9"/>
      <c r="AZ1232" s="9"/>
    </row>
    <row r="1233" spans="1:52">
      <c r="A1233" s="9"/>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c r="AD1233" s="9"/>
      <c r="AE1233" s="9"/>
      <c r="AF1233" s="9"/>
      <c r="AG1233" s="9"/>
      <c r="AH1233" s="9"/>
      <c r="AI1233" s="9"/>
      <c r="AJ1233" s="9"/>
      <c r="AK1233" s="9"/>
      <c r="AL1233" s="9"/>
      <c r="AM1233" s="9"/>
      <c r="AN1233" s="9"/>
      <c r="AO1233" s="9"/>
      <c r="AP1233" s="9"/>
      <c r="AQ1233" s="9"/>
      <c r="AR1233" s="9"/>
      <c r="AS1233" s="9"/>
      <c r="AT1233" s="9"/>
      <c r="AU1233" s="9"/>
      <c r="AV1233" s="9"/>
      <c r="AW1233" s="9"/>
      <c r="AX1233" s="9"/>
      <c r="AY1233" s="9"/>
      <c r="AZ1233" s="9"/>
    </row>
    <row r="1234" spans="1:52">
      <c r="A1234" s="9"/>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c r="AD1234" s="9"/>
      <c r="AE1234" s="9"/>
      <c r="AF1234" s="9"/>
      <c r="AG1234" s="9"/>
      <c r="AH1234" s="9"/>
      <c r="AI1234" s="9"/>
      <c r="AJ1234" s="9"/>
      <c r="AK1234" s="9"/>
      <c r="AL1234" s="9"/>
      <c r="AM1234" s="9"/>
      <c r="AN1234" s="9"/>
      <c r="AO1234" s="9"/>
      <c r="AP1234" s="9"/>
      <c r="AQ1234" s="9"/>
      <c r="AR1234" s="9"/>
      <c r="AS1234" s="9"/>
      <c r="AT1234" s="9"/>
      <c r="AU1234" s="9"/>
      <c r="AV1234" s="9"/>
      <c r="AW1234" s="9"/>
      <c r="AX1234" s="9"/>
      <c r="AY1234" s="9"/>
      <c r="AZ1234" s="9"/>
    </row>
    <row r="1235" spans="1:52">
      <c r="A1235" s="9"/>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c r="AD1235" s="9"/>
      <c r="AE1235" s="9"/>
      <c r="AF1235" s="9"/>
      <c r="AG1235" s="9"/>
      <c r="AH1235" s="9"/>
      <c r="AI1235" s="9"/>
      <c r="AJ1235" s="9"/>
      <c r="AK1235" s="9"/>
      <c r="AL1235" s="9"/>
      <c r="AM1235" s="9"/>
      <c r="AN1235" s="9"/>
      <c r="AO1235" s="9"/>
      <c r="AP1235" s="9"/>
      <c r="AQ1235" s="9"/>
      <c r="AR1235" s="9"/>
      <c r="AS1235" s="9"/>
      <c r="AT1235" s="9"/>
      <c r="AU1235" s="9"/>
      <c r="AV1235" s="9"/>
      <c r="AW1235" s="9"/>
      <c r="AX1235" s="9"/>
      <c r="AY1235" s="9"/>
      <c r="AZ1235" s="9"/>
    </row>
    <row r="1236" spans="1:52">
      <c r="A1236" s="9"/>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c r="AD1236" s="9"/>
      <c r="AE1236" s="9"/>
      <c r="AF1236" s="9"/>
      <c r="AG1236" s="9"/>
      <c r="AH1236" s="9"/>
      <c r="AI1236" s="9"/>
      <c r="AJ1236" s="9"/>
      <c r="AK1236" s="9"/>
      <c r="AL1236" s="9"/>
      <c r="AM1236" s="9"/>
      <c r="AN1236" s="9"/>
      <c r="AO1236" s="9"/>
      <c r="AP1236" s="9"/>
      <c r="AQ1236" s="9"/>
      <c r="AR1236" s="9"/>
      <c r="AS1236" s="9"/>
      <c r="AT1236" s="9"/>
      <c r="AU1236" s="9"/>
      <c r="AV1236" s="9"/>
      <c r="AW1236" s="9"/>
      <c r="AX1236" s="9"/>
      <c r="AY1236" s="9"/>
      <c r="AZ1236" s="9"/>
    </row>
  </sheetData>
  <autoFilter ref="A1:Z237"/>
  <conditionalFormatting sqref="A1:Z1">
    <cfRule type="cellIs" dxfId="7" priority="27" operator="notEqual">
      <formula>"None"</formula>
    </cfRule>
  </conditionalFormatting>
  <conditionalFormatting sqref="A2:A237">
    <cfRule type="cellIs" dxfId="0" priority="1" operator="notEqual">
      <formula>"None"</formula>
    </cfRule>
  </conditionalFormatting>
  <conditionalFormatting sqref="B2:B237">
    <cfRule type="cellIs" dxfId="1" priority="2" operator="notEqual">
      <formula>"None"</formula>
    </cfRule>
  </conditionalFormatting>
  <conditionalFormatting sqref="C2:C237">
    <cfRule type="cellIs" dxfId="0" priority="3" operator="notEqual">
      <formula>"None"</formula>
    </cfRule>
  </conditionalFormatting>
  <conditionalFormatting sqref="D2:D237">
    <cfRule type="cellIs" dxfId="2" priority="4" operator="notEqual">
      <formula>"None"</formula>
    </cfRule>
  </conditionalFormatting>
  <conditionalFormatting sqref="E2:E237">
    <cfRule type="cellIs" dxfId="2" priority="5" operator="notEqual">
      <formula>"None"</formula>
    </cfRule>
  </conditionalFormatting>
  <conditionalFormatting sqref="F2:F237">
    <cfRule type="cellIs" dxfId="2" priority="6" operator="notEqual">
      <formula>"None"</formula>
    </cfRule>
  </conditionalFormatting>
  <conditionalFormatting sqref="G2:G237">
    <cfRule type="cellIs" dxfId="3" priority="7" operator="notEqual">
      <formula>"None"</formula>
    </cfRule>
  </conditionalFormatting>
  <conditionalFormatting sqref="H2:H237">
    <cfRule type="cellIs" dxfId="3" priority="8" operator="notEqual">
      <formula>"None"</formula>
    </cfRule>
  </conditionalFormatting>
  <conditionalFormatting sqref="I2:I237">
    <cfRule type="cellIs" dxfId="3" priority="9" operator="notEqual">
      <formula>"None"</formula>
    </cfRule>
  </conditionalFormatting>
  <conditionalFormatting sqref="J2:J237">
    <cfRule type="cellIs" dxfId="3" priority="10" operator="notEqual">
      <formula>"None"</formula>
    </cfRule>
  </conditionalFormatting>
  <conditionalFormatting sqref="K2:K237">
    <cfRule type="cellIs" dxfId="3" priority="11" operator="notEqual">
      <formula>"None"</formula>
    </cfRule>
  </conditionalFormatting>
  <conditionalFormatting sqref="L2:L237">
    <cfRule type="cellIs" dxfId="0" priority="12" operator="notEqual">
      <formula>"None"</formula>
    </cfRule>
  </conditionalFormatting>
  <conditionalFormatting sqref="M2:M237">
    <cfRule type="cellIs" dxfId="4" priority="13" operator="notEqual">
      <formula>"None"</formula>
    </cfRule>
  </conditionalFormatting>
  <conditionalFormatting sqref="N2:N237">
    <cfRule type="cellIs" dxfId="2" priority="14" operator="notEqual">
      <formula>"None"</formula>
    </cfRule>
  </conditionalFormatting>
  <conditionalFormatting sqref="O2:O237">
    <cfRule type="cellIs" dxfId="2" priority="15" operator="notEqual">
      <formula>"None"</formula>
    </cfRule>
  </conditionalFormatting>
  <conditionalFormatting sqref="P2:P237">
    <cfRule type="cellIs" dxfId="3" priority="16" operator="notEqual">
      <formula>"None"</formula>
    </cfRule>
  </conditionalFormatting>
  <conditionalFormatting sqref="Q2:Q237">
    <cfRule type="cellIs" dxfId="0" priority="17" operator="notEqual">
      <formula>"None"</formula>
    </cfRule>
  </conditionalFormatting>
  <conditionalFormatting sqref="R2:R237">
    <cfRule type="cellIs" dxfId="3" priority="18" operator="notEqual">
      <formula>"None"</formula>
    </cfRule>
  </conditionalFormatting>
  <conditionalFormatting sqref="S2:S237">
    <cfRule type="cellIs" dxfId="0" priority="19" operator="notEqual">
      <formula>"None"</formula>
    </cfRule>
  </conditionalFormatting>
  <conditionalFormatting sqref="T2:T237">
    <cfRule type="cellIs" dxfId="0" priority="20" operator="notEqual">
      <formula>"None"</formula>
    </cfRule>
  </conditionalFormatting>
  <conditionalFormatting sqref="U2:U237">
    <cfRule type="cellIs" dxfId="0" priority="21" operator="notEqual">
      <formula>"None"</formula>
    </cfRule>
  </conditionalFormatting>
  <conditionalFormatting sqref="V2:V237">
    <cfRule type="cellIs" dxfId="0" priority="22" operator="notEqual">
      <formula>"None"</formula>
    </cfRule>
  </conditionalFormatting>
  <conditionalFormatting sqref="W2:W237">
    <cfRule type="cellIs" dxfId="5" priority="23" operator="notEqual">
      <formula>"None"</formula>
    </cfRule>
  </conditionalFormatting>
  <conditionalFormatting sqref="X2:X237">
    <cfRule type="cellIs" dxfId="6" priority="24" operator="notEqual">
      <formula>"None"</formula>
    </cfRule>
  </conditionalFormatting>
  <conditionalFormatting sqref="Y2:Y237">
    <cfRule type="cellIs" dxfId="0" priority="25" operator="notEqual">
      <formula>"None"</formula>
    </cfRule>
  </conditionalFormatting>
  <conditionalFormatting sqref="Z2:Z237">
    <cfRule type="cellIs" dxfId="0" priority="26" operator="notEqual">
      <formula>"None"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32"/>
  <sheetViews>
    <sheetView workbookViewId="0"/>
  </sheetViews>
  <sheetFormatPr defaultRowHeight="15"/>
  <cols>
    <col min="1" max="1" width="40.7109375" customWidth="1"/>
    <col min="2" max="2" width="140.7109375" customWidth="1"/>
  </cols>
  <sheetData>
    <row r="1" spans="1:2">
      <c r="A1" s="8" t="s">
        <v>366</v>
      </c>
      <c r="B1" s="8"/>
    </row>
    <row r="2" spans="1:2">
      <c r="A2" s="8" t="s">
        <v>367</v>
      </c>
    </row>
    <row r="3" spans="1:2">
      <c r="A3" s="8" t="s">
        <v>368</v>
      </c>
    </row>
    <row r="4" spans="1:2">
      <c r="A4" s="8"/>
    </row>
    <row r="5" spans="1:2">
      <c r="A5" s="8"/>
    </row>
    <row r="6" spans="1:2">
      <c r="A6" s="8" t="s">
        <v>369</v>
      </c>
      <c r="B6" t="s">
        <v>370</v>
      </c>
    </row>
    <row r="7" spans="1:2">
      <c r="A7" s="8" t="s">
        <v>25</v>
      </c>
      <c r="B7" t="s">
        <v>371</v>
      </c>
    </row>
    <row r="8" spans="1:2">
      <c r="A8" s="8" t="s">
        <v>0</v>
      </c>
      <c r="B8" t="s">
        <v>372</v>
      </c>
    </row>
    <row r="9" spans="1:2">
      <c r="A9" s="8" t="s">
        <v>1</v>
      </c>
      <c r="B9" t="s">
        <v>373</v>
      </c>
    </row>
    <row r="10" spans="1:2">
      <c r="A10" s="8" t="s">
        <v>2</v>
      </c>
      <c r="B10" t="s">
        <v>374</v>
      </c>
    </row>
    <row r="11" spans="1:2">
      <c r="A11" s="8" t="s">
        <v>3</v>
      </c>
      <c r="B11" t="s">
        <v>375</v>
      </c>
    </row>
    <row r="12" spans="1:2">
      <c r="A12" s="8" t="s">
        <v>4</v>
      </c>
      <c r="B12" t="s">
        <v>376</v>
      </c>
    </row>
    <row r="13" spans="1:2">
      <c r="A13" s="8" t="s">
        <v>5</v>
      </c>
      <c r="B13" t="s">
        <v>377</v>
      </c>
    </row>
    <row r="14" spans="1:2">
      <c r="A14" s="8" t="s">
        <v>6</v>
      </c>
      <c r="B14" t="s">
        <v>378</v>
      </c>
    </row>
    <row r="15" spans="1:2">
      <c r="A15" s="8" t="s">
        <v>7</v>
      </c>
      <c r="B15" t="s">
        <v>379</v>
      </c>
    </row>
    <row r="16" spans="1:2">
      <c r="A16" s="8" t="s">
        <v>8</v>
      </c>
      <c r="B16" t="s">
        <v>380</v>
      </c>
    </row>
    <row r="17" spans="1:2">
      <c r="A17" s="8" t="s">
        <v>9</v>
      </c>
      <c r="B17" t="s">
        <v>381</v>
      </c>
    </row>
    <row r="18" spans="1:2">
      <c r="A18" s="8" t="s">
        <v>10</v>
      </c>
      <c r="B18" t="s">
        <v>382</v>
      </c>
    </row>
    <row r="19" spans="1:2">
      <c r="A19" s="8" t="s">
        <v>11</v>
      </c>
      <c r="B19" t="s">
        <v>383</v>
      </c>
    </row>
    <row r="20" spans="1:2">
      <c r="A20" s="8" t="s">
        <v>12</v>
      </c>
      <c r="B20" t="s">
        <v>384</v>
      </c>
    </row>
    <row r="21" spans="1:2">
      <c r="A21" s="8" t="s">
        <v>13</v>
      </c>
      <c r="B21" t="s">
        <v>385</v>
      </c>
    </row>
    <row r="22" spans="1:2">
      <c r="A22" s="8" t="s">
        <v>14</v>
      </c>
      <c r="B22" t="s">
        <v>386</v>
      </c>
    </row>
    <row r="23" spans="1:2">
      <c r="A23" s="8" t="s">
        <v>15</v>
      </c>
      <c r="B23" t="s">
        <v>387</v>
      </c>
    </row>
    <row r="24" spans="1:2">
      <c r="A24" s="8" t="s">
        <v>16</v>
      </c>
      <c r="B24" t="s">
        <v>388</v>
      </c>
    </row>
    <row r="25" spans="1:2">
      <c r="A25" s="8" t="s">
        <v>17</v>
      </c>
      <c r="B25" t="s">
        <v>389</v>
      </c>
    </row>
    <row r="26" spans="1:2">
      <c r="A26" s="8" t="s">
        <v>18</v>
      </c>
      <c r="B26" t="s">
        <v>390</v>
      </c>
    </row>
    <row r="27" spans="1:2">
      <c r="A27" s="8" t="s">
        <v>19</v>
      </c>
      <c r="B27" t="s">
        <v>391</v>
      </c>
    </row>
    <row r="28" spans="1:2">
      <c r="A28" s="8" t="s">
        <v>20</v>
      </c>
      <c r="B28" t="s">
        <v>392</v>
      </c>
    </row>
    <row r="29" spans="1:2">
      <c r="A29" s="8" t="s">
        <v>21</v>
      </c>
      <c r="B29" t="s">
        <v>393</v>
      </c>
    </row>
    <row r="30" spans="1:2">
      <c r="A30" s="8" t="s">
        <v>22</v>
      </c>
      <c r="B30" t="s">
        <v>394</v>
      </c>
    </row>
    <row r="31" spans="1:2">
      <c r="A31" s="8" t="s">
        <v>23</v>
      </c>
      <c r="B31" t="s">
        <v>395</v>
      </c>
    </row>
    <row r="32" spans="1:2">
      <c r="A32" s="8" t="s">
        <v>24</v>
      </c>
      <c r="B32" t="s">
        <v>396</v>
      </c>
    </row>
  </sheetData>
  <conditionalFormatting sqref="A1">
    <cfRule type="cellIs" dxfId="7" priority="2" operator="notEqual">
      <formula>"None"</formula>
    </cfRule>
  </conditionalFormatting>
  <conditionalFormatting sqref="A2:A3">
    <cfRule type="cellIs" dxfId="0" priority="1" operator="notEqual">
      <formula>"None"</formula>
    </cfRule>
  </conditionalFormatting>
  <conditionalFormatting sqref="A6:B6">
    <cfRule type="cellIs" dxfId="7" priority="4" operator="notEqual">
      <formula>"None"</formula>
    </cfRule>
  </conditionalFormatting>
  <conditionalFormatting sqref="A7:B32">
    <cfRule type="cellIs" dxfId="0" priority="3" operator="notEqual">
      <formula>"None"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 &amp; Glossary</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2026-06-26T12:57:29Z</dcterms:created>
  <dcterms:modified xsi:type="dcterms:W3CDTF">2026-06-26T12:57:29Z</dcterms:modified>
</cp:coreProperties>
</file>